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-30" yWindow="-15" windowWidth="9705" windowHeight="11610"/>
  </bookViews>
  <sheets>
    <sheet name="свод" sheetId="59" r:id="rId1"/>
    <sheet name="район" sheetId="60" r:id="rId2"/>
    <sheet name="Свод посел" sheetId="45" r:id="rId3"/>
    <sheet name="Верхнеталовка" sheetId="46" r:id="rId4"/>
    <sheet name="Волошино" sheetId="47" r:id="rId5"/>
    <sheet name="Дегтево" sheetId="48" r:id="rId6"/>
    <sheet name="Колодези" sheetId="49" r:id="rId7"/>
    <sheet name="Криворожье" sheetId="50" r:id="rId8"/>
    <sheet name="Мальчевская" sheetId="51" r:id="rId9"/>
    <sheet name="Миллерово" sheetId="52" r:id="rId10"/>
    <sheet name="О.-Рог" sheetId="53" r:id="rId11"/>
    <sheet name="Первомайское" sheetId="54" r:id="rId12"/>
    <sheet name="Сулин" sheetId="55" r:id="rId13"/>
    <sheet name="Титовка" sheetId="56" r:id="rId14"/>
    <sheet name="Треневка" sheetId="57" r:id="rId15"/>
    <sheet name="Туриловка" sheetId="58" r:id="rId16"/>
  </sheets>
  <externalReferences>
    <externalReference r:id="rId17"/>
  </externalReferences>
  <definedNames>
    <definedName name="_xlnm._FilterDatabase" localSheetId="2" hidden="1">'Свод посел'!$A$5:$C$8</definedName>
    <definedName name="_xlnm.Print_Titles" localSheetId="2">'Свод посел'!$8:$8</definedName>
    <definedName name="_xlnm.Print_Area" localSheetId="3">Верхнеталовка!$A$1:$D$183</definedName>
    <definedName name="_xlnm.Print_Area" localSheetId="4">Волошино!$A$1:$D$183</definedName>
    <definedName name="_xlnm.Print_Area" localSheetId="6">Колодези!$A$1:$D$183</definedName>
    <definedName name="_xlnm.Print_Area" localSheetId="7">Криворожье!$A$1:$D$183</definedName>
    <definedName name="_xlnm.Print_Area" localSheetId="8">Мальчевская!$A$1:$D$183</definedName>
    <definedName name="_xlnm.Print_Area" localSheetId="9">Миллерово!$A$1:$D$183</definedName>
    <definedName name="_xlnm.Print_Area" localSheetId="10">'О.-Рог'!$A$1:$D$183</definedName>
    <definedName name="_xlnm.Print_Area" localSheetId="11">Первомайское!$A$1:$D$183</definedName>
    <definedName name="_xlnm.Print_Area" localSheetId="2">'Свод посел'!$A$1:$D$191</definedName>
    <definedName name="_xlnm.Print_Area" localSheetId="12">Сулин!$A$1:$D$183</definedName>
    <definedName name="_xlnm.Print_Area" localSheetId="13">Титовка!$A$1:$D$183</definedName>
    <definedName name="_xlnm.Print_Area" localSheetId="14">Треневка!$A$1:$D$183</definedName>
    <definedName name="_xlnm.Print_Area" localSheetId="15">Туриловка!$A$1:$D$183</definedName>
  </definedNames>
  <calcPr calcId="125725" refMode="R1C1"/>
</workbook>
</file>

<file path=xl/calcChain.xml><?xml version="1.0" encoding="utf-8"?>
<calcChain xmlns="http://schemas.openxmlformats.org/spreadsheetml/2006/main">
  <c r="P10" i="60"/>
  <c r="O10"/>
  <c r="J10"/>
  <c r="I10"/>
  <c r="M76" l="1"/>
  <c r="L76"/>
  <c r="M63"/>
  <c r="L63"/>
  <c r="M29"/>
  <c r="L29"/>
  <c r="M16"/>
  <c r="M10" s="1"/>
  <c r="L16"/>
  <c r="L10" s="1"/>
  <c r="G76"/>
  <c r="F76"/>
  <c r="G72"/>
  <c r="F72"/>
  <c r="G29"/>
  <c r="F29"/>
  <c r="F10" s="1"/>
  <c r="G16"/>
  <c r="F16"/>
  <c r="F11"/>
  <c r="D75" i="48"/>
  <c r="C75"/>
  <c r="D62"/>
  <c r="C62"/>
  <c r="D28"/>
  <c r="C28"/>
  <c r="D15"/>
  <c r="D9" s="1"/>
  <c r="C15"/>
  <c r="C9" s="1"/>
  <c r="G10" i="60" l="1"/>
  <c r="C82" i="47"/>
  <c r="D81"/>
  <c r="C81"/>
  <c r="C78"/>
  <c r="C77"/>
  <c r="C75" s="1"/>
  <c r="D75"/>
  <c r="D62"/>
  <c r="C62"/>
  <c r="D61"/>
  <c r="C61"/>
  <c r="C44"/>
  <c r="C41"/>
  <c r="C36"/>
  <c r="C35"/>
  <c r="C34"/>
  <c r="D32"/>
  <c r="D28" s="1"/>
  <c r="C32"/>
  <c r="C27"/>
  <c r="D23"/>
  <c r="C23"/>
  <c r="D18"/>
  <c r="C18"/>
  <c r="D16"/>
  <c r="D15" s="1"/>
  <c r="C16"/>
  <c r="C15" s="1"/>
  <c r="D10"/>
  <c r="C10"/>
  <c r="D75" i="53"/>
  <c r="C75"/>
  <c r="D62"/>
  <c r="C62"/>
  <c r="D28"/>
  <c r="D9" s="1"/>
  <c r="C28"/>
  <c r="D15"/>
  <c r="C15"/>
  <c r="D9" i="50"/>
  <c r="C9"/>
  <c r="C9" i="53" l="1"/>
  <c r="C28" i="47"/>
  <c r="C9" s="1"/>
  <c r="D9"/>
  <c r="C83" i="57"/>
  <c r="C76"/>
  <c r="C61"/>
  <c r="C37"/>
  <c r="C33"/>
  <c r="C27"/>
  <c r="C24"/>
  <c r="C23"/>
  <c r="C16"/>
  <c r="D9"/>
  <c r="C9" l="1"/>
  <c r="D75" i="49"/>
  <c r="C75"/>
  <c r="C62"/>
  <c r="D28"/>
  <c r="C28"/>
  <c r="D15"/>
  <c r="C15"/>
  <c r="C10"/>
  <c r="C83" i="52"/>
  <c r="C82"/>
  <c r="C81"/>
  <c r="C79"/>
  <c r="C78"/>
  <c r="C77"/>
  <c r="C76"/>
  <c r="D75"/>
  <c r="D71"/>
  <c r="C71"/>
  <c r="C70"/>
  <c r="C66"/>
  <c r="C64"/>
  <c r="C63"/>
  <c r="D62"/>
  <c r="C61"/>
  <c r="C60"/>
  <c r="C48"/>
  <c r="C44"/>
  <c r="C37"/>
  <c r="C36"/>
  <c r="C35"/>
  <c r="C34"/>
  <c r="C33"/>
  <c r="C32"/>
  <c r="C30"/>
  <c r="D28"/>
  <c r="C27"/>
  <c r="C23"/>
  <c r="C16"/>
  <c r="D15"/>
  <c r="C14"/>
  <c r="C10" s="1"/>
  <c r="D10"/>
  <c r="C15" l="1"/>
  <c r="C75"/>
  <c r="C62"/>
  <c r="C28"/>
  <c r="D9"/>
  <c r="C9" i="49"/>
  <c r="D9"/>
  <c r="C9" i="52" l="1"/>
  <c r="D75" i="46"/>
  <c r="C75"/>
  <c r="D62"/>
  <c r="C62"/>
  <c r="D28"/>
  <c r="C28"/>
  <c r="D15"/>
  <c r="C15"/>
  <c r="C9"/>
  <c r="D9" i="56"/>
  <c r="C9"/>
  <c r="C83" i="55"/>
  <c r="C75" s="1"/>
  <c r="D75"/>
  <c r="C62"/>
  <c r="C61"/>
  <c r="C46"/>
  <c r="D28"/>
  <c r="C28"/>
  <c r="C16"/>
  <c r="D15"/>
  <c r="C15"/>
  <c r="D10"/>
  <c r="C10"/>
  <c r="D9" i="46" l="1"/>
  <c r="C9" i="55"/>
  <c r="D9"/>
  <c r="D75" i="51"/>
  <c r="C75"/>
  <c r="D62"/>
  <c r="C62"/>
  <c r="D28"/>
  <c r="D9" s="1"/>
  <c r="C28"/>
  <c r="D15"/>
  <c r="C15"/>
  <c r="C9" l="1"/>
  <c r="D75" i="54"/>
  <c r="C75"/>
  <c r="D71"/>
  <c r="C71"/>
  <c r="D62"/>
  <c r="C62"/>
  <c r="D28"/>
  <c r="C28"/>
  <c r="D15"/>
  <c r="C15"/>
  <c r="D10"/>
  <c r="C10"/>
  <c r="C9" l="1"/>
  <c r="D9"/>
  <c r="C9" i="58"/>
  <c r="D9"/>
  <c r="Z10" i="60" l="1"/>
  <c r="T62"/>
  <c r="T10"/>
  <c r="N10"/>
  <c r="K76"/>
  <c r="K63"/>
  <c r="K29"/>
  <c r="K16"/>
  <c r="H87"/>
  <c r="H10" s="1"/>
  <c r="E76"/>
  <c r="E72"/>
  <c r="E10" l="1"/>
  <c r="K10"/>
  <c r="B75" i="53" l="1"/>
  <c r="B62"/>
  <c r="B28"/>
  <c r="B15"/>
  <c r="B83" i="47"/>
  <c r="B81"/>
  <c r="B78"/>
  <c r="B77"/>
  <c r="B62"/>
  <c r="B61"/>
  <c r="B44"/>
  <c r="B41"/>
  <c r="B38"/>
  <c r="B37"/>
  <c r="B36"/>
  <c r="B35"/>
  <c r="B34"/>
  <c r="B32"/>
  <c r="B27"/>
  <c r="B24"/>
  <c r="B23"/>
  <c r="B21"/>
  <c r="B18"/>
  <c r="B16"/>
  <c r="B10"/>
  <c r="B75" i="49"/>
  <c r="B62"/>
  <c r="B28"/>
  <c r="B15"/>
  <c r="B10"/>
  <c r="B75" i="48"/>
  <c r="B62"/>
  <c r="B28"/>
  <c r="B15"/>
  <c r="B9" i="53" l="1"/>
  <c r="B15" i="47"/>
  <c r="B75"/>
  <c r="B9" i="48"/>
  <c r="B28" i="47"/>
  <c r="B9" i="49"/>
  <c r="B9" i="56"/>
  <c r="B75" i="52"/>
  <c r="B71"/>
  <c r="B62"/>
  <c r="B28"/>
  <c r="B15"/>
  <c r="B10"/>
  <c r="B9" i="50"/>
  <c r="B9" i="47" l="1"/>
  <c r="B9" i="52"/>
  <c r="B9" i="57" l="1"/>
  <c r="B75" i="54" l="1"/>
  <c r="B71"/>
  <c r="B62"/>
  <c r="B28"/>
  <c r="B15"/>
  <c r="B10"/>
  <c r="B9" l="1"/>
  <c r="B75" i="46"/>
  <c r="B62"/>
  <c r="B28"/>
  <c r="B15"/>
  <c r="B9" l="1"/>
  <c r="B75" i="55"/>
  <c r="B62"/>
  <c r="B44"/>
  <c r="B35"/>
  <c r="B15"/>
  <c r="B10"/>
  <c r="B28" l="1"/>
  <c r="B9" s="1"/>
  <c r="B75" i="51"/>
  <c r="B62"/>
  <c r="B28"/>
  <c r="B15"/>
  <c r="B10"/>
  <c r="B9" l="1"/>
  <c r="B9" i="58"/>
  <c r="B82" i="45" l="1"/>
  <c r="B35"/>
  <c r="E9" i="52"/>
  <c r="B81" i="45"/>
  <c r="B44"/>
  <c r="E87"/>
  <c r="D87"/>
  <c r="C87"/>
  <c r="B87"/>
  <c r="E86"/>
  <c r="D86"/>
  <c r="C86"/>
  <c r="B86"/>
  <c r="E85"/>
  <c r="D85"/>
  <c r="C85"/>
  <c r="B85"/>
  <c r="E84"/>
  <c r="E83"/>
  <c r="D83"/>
  <c r="C83"/>
  <c r="B83"/>
  <c r="E82"/>
  <c r="D82"/>
  <c r="C82"/>
  <c r="E81"/>
  <c r="D81"/>
  <c r="C81"/>
  <c r="E80"/>
  <c r="D80"/>
  <c r="C80"/>
  <c r="B80"/>
  <c r="E79"/>
  <c r="D79"/>
  <c r="C79"/>
  <c r="B79"/>
  <c r="E78"/>
  <c r="D78"/>
  <c r="C78"/>
  <c r="B78"/>
  <c r="E77"/>
  <c r="D77"/>
  <c r="C77"/>
  <c r="B77"/>
  <c r="E76"/>
  <c r="D76"/>
  <c r="C76"/>
  <c r="B76"/>
  <c r="E75"/>
  <c r="E74"/>
  <c r="D74"/>
  <c r="C74"/>
  <c r="B74"/>
  <c r="E73"/>
  <c r="D73"/>
  <c r="C73"/>
  <c r="B73"/>
  <c r="E72"/>
  <c r="D72"/>
  <c r="C72"/>
  <c r="B72"/>
  <c r="B71" s="1"/>
  <c r="E71"/>
  <c r="E70"/>
  <c r="D70"/>
  <c r="C70"/>
  <c r="B70"/>
  <c r="E69"/>
  <c r="D69"/>
  <c r="C69"/>
  <c r="B69"/>
  <c r="E68"/>
  <c r="D68"/>
  <c r="C68"/>
  <c r="B68"/>
  <c r="E67"/>
  <c r="D67"/>
  <c r="C67"/>
  <c r="B67"/>
  <c r="E66"/>
  <c r="D66"/>
  <c r="C66"/>
  <c r="B66"/>
  <c r="E65"/>
  <c r="D65"/>
  <c r="C65"/>
  <c r="B65"/>
  <c r="E64"/>
  <c r="D64"/>
  <c r="C64"/>
  <c r="B64"/>
  <c r="E63"/>
  <c r="D63"/>
  <c r="C63"/>
  <c r="B63"/>
  <c r="B62" s="1"/>
  <c r="E62"/>
  <c r="E61"/>
  <c r="D61"/>
  <c r="C61"/>
  <c r="B61"/>
  <c r="E60"/>
  <c r="D60"/>
  <c r="C60"/>
  <c r="B60"/>
  <c r="E59"/>
  <c r="D59"/>
  <c r="C59"/>
  <c r="B59"/>
  <c r="E58"/>
  <c r="D58"/>
  <c r="C58"/>
  <c r="B58"/>
  <c r="E57"/>
  <c r="D57"/>
  <c r="C57"/>
  <c r="B57"/>
  <c r="E56"/>
  <c r="D56"/>
  <c r="C56"/>
  <c r="B56"/>
  <c r="E55"/>
  <c r="D55"/>
  <c r="C55"/>
  <c r="B55"/>
  <c r="E54"/>
  <c r="D54"/>
  <c r="C54"/>
  <c r="B54"/>
  <c r="E53"/>
  <c r="D53"/>
  <c r="C53"/>
  <c r="B53"/>
  <c r="E52"/>
  <c r="D52"/>
  <c r="C52"/>
  <c r="B52"/>
  <c r="E51"/>
  <c r="D51"/>
  <c r="C51"/>
  <c r="B51"/>
  <c r="E50"/>
  <c r="D50"/>
  <c r="C50"/>
  <c r="B50"/>
  <c r="E49"/>
  <c r="D49"/>
  <c r="C49"/>
  <c r="B49"/>
  <c r="E48"/>
  <c r="D48"/>
  <c r="C48"/>
  <c r="B48"/>
  <c r="E47"/>
  <c r="D47"/>
  <c r="C47"/>
  <c r="B47"/>
  <c r="E46"/>
  <c r="D46"/>
  <c r="C46"/>
  <c r="B46"/>
  <c r="E45"/>
  <c r="D45"/>
  <c r="C45"/>
  <c r="B45"/>
  <c r="E44"/>
  <c r="D44"/>
  <c r="C44"/>
  <c r="E43"/>
  <c r="D43"/>
  <c r="C43"/>
  <c r="B43"/>
  <c r="E42"/>
  <c r="D42"/>
  <c r="C42"/>
  <c r="B42"/>
  <c r="E4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E14"/>
  <c r="D14"/>
  <c r="C14"/>
  <c r="B14"/>
  <c r="B14" i="59" s="1"/>
  <c r="E13" i="45"/>
  <c r="D13"/>
  <c r="C13"/>
  <c r="B13"/>
  <c r="E12"/>
  <c r="D12"/>
  <c r="C12"/>
  <c r="B12"/>
  <c r="E11"/>
  <c r="D11"/>
  <c r="C11"/>
  <c r="B11"/>
  <c r="E10"/>
  <c r="AJ88" i="60"/>
  <c r="D88"/>
  <c r="C88"/>
  <c r="D87"/>
  <c r="AJ87"/>
  <c r="AJ86"/>
  <c r="D86"/>
  <c r="C86"/>
  <c r="B86"/>
  <c r="AJ85"/>
  <c r="C85"/>
  <c r="D84"/>
  <c r="AJ84"/>
  <c r="AJ83"/>
  <c r="D83"/>
  <c r="C83"/>
  <c r="AJ82"/>
  <c r="AH82"/>
  <c r="AG82"/>
  <c r="AF82"/>
  <c r="D82"/>
  <c r="C82"/>
  <c r="AJ81"/>
  <c r="D81"/>
  <c r="C81"/>
  <c r="D80"/>
  <c r="AJ80"/>
  <c r="C80"/>
  <c r="D79"/>
  <c r="AJ78"/>
  <c r="D78"/>
  <c r="AJ77"/>
  <c r="D77"/>
  <c r="C77"/>
  <c r="AJ75"/>
  <c r="D75"/>
  <c r="C75"/>
  <c r="B75"/>
  <c r="AJ74"/>
  <c r="D74"/>
  <c r="C74"/>
  <c r="B74"/>
  <c r="AJ73"/>
  <c r="D73"/>
  <c r="C73"/>
  <c r="B73"/>
  <c r="AJ72"/>
  <c r="D72"/>
  <c r="C72"/>
  <c r="AJ71"/>
  <c r="D71"/>
  <c r="C71"/>
  <c r="AJ70"/>
  <c r="AH70"/>
  <c r="AG70"/>
  <c r="AF70"/>
  <c r="D70"/>
  <c r="C70"/>
  <c r="B70"/>
  <c r="AJ69"/>
  <c r="D69"/>
  <c r="C69"/>
  <c r="AJ68"/>
  <c r="AH68"/>
  <c r="AG68"/>
  <c r="AF68"/>
  <c r="D68"/>
  <c r="C68"/>
  <c r="B68"/>
  <c r="AJ67"/>
  <c r="D67"/>
  <c r="C67"/>
  <c r="AJ66"/>
  <c r="D66"/>
  <c r="C66"/>
  <c r="B66"/>
  <c r="AJ65"/>
  <c r="AH65"/>
  <c r="AG65"/>
  <c r="AF65"/>
  <c r="D65"/>
  <c r="C65"/>
  <c r="AJ64"/>
  <c r="D64"/>
  <c r="C64"/>
  <c r="AJ63"/>
  <c r="AK63" s="1"/>
  <c r="AJ62"/>
  <c r="D62"/>
  <c r="C62"/>
  <c r="AJ61"/>
  <c r="D61"/>
  <c r="C61"/>
  <c r="AJ60"/>
  <c r="D60"/>
  <c r="C60"/>
  <c r="AJ59"/>
  <c r="C59"/>
  <c r="D59"/>
  <c r="AJ58"/>
  <c r="D58"/>
  <c r="C58"/>
  <c r="B58"/>
  <c r="AJ57"/>
  <c r="D57"/>
  <c r="C57"/>
  <c r="B57"/>
  <c r="AJ56"/>
  <c r="D56"/>
  <c r="C56"/>
  <c r="B56"/>
  <c r="AJ55"/>
  <c r="D55"/>
  <c r="C55"/>
  <c r="B55"/>
  <c r="AJ54"/>
  <c r="D54"/>
  <c r="C54"/>
  <c r="B54"/>
  <c r="AJ53"/>
  <c r="D53"/>
  <c r="C53"/>
  <c r="B53"/>
  <c r="AJ52"/>
  <c r="D52"/>
  <c r="C52"/>
  <c r="B52"/>
  <c r="AJ51"/>
  <c r="D51"/>
  <c r="C51"/>
  <c r="B51"/>
  <c r="AJ50"/>
  <c r="D50"/>
  <c r="C50"/>
  <c r="AJ49"/>
  <c r="D49"/>
  <c r="C49"/>
  <c r="B49"/>
  <c r="AJ48"/>
  <c r="D48"/>
  <c r="C48"/>
  <c r="AJ47"/>
  <c r="D47"/>
  <c r="C47"/>
  <c r="B47"/>
  <c r="AJ46"/>
  <c r="D46"/>
  <c r="C46"/>
  <c r="B46"/>
  <c r="AJ45"/>
  <c r="D45"/>
  <c r="AJ44"/>
  <c r="D44"/>
  <c r="C44"/>
  <c r="B44"/>
  <c r="AJ43"/>
  <c r="D43"/>
  <c r="C43"/>
  <c r="B43"/>
  <c r="AJ42"/>
  <c r="D42"/>
  <c r="C42"/>
  <c r="AJ41"/>
  <c r="D41"/>
  <c r="C41"/>
  <c r="B41"/>
  <c r="AJ40"/>
  <c r="D40"/>
  <c r="C40"/>
  <c r="AJ39"/>
  <c r="D39"/>
  <c r="C39"/>
  <c r="B39"/>
  <c r="D38"/>
  <c r="AJ38"/>
  <c r="C38"/>
  <c r="AJ37"/>
  <c r="D37"/>
  <c r="C37"/>
  <c r="AJ36"/>
  <c r="D36"/>
  <c r="C36"/>
  <c r="D35"/>
  <c r="AJ35"/>
  <c r="AJ34"/>
  <c r="D34"/>
  <c r="C34"/>
  <c r="AH33"/>
  <c r="AG33"/>
  <c r="AF33"/>
  <c r="D33"/>
  <c r="AJ33"/>
  <c r="AJ32"/>
  <c r="D32"/>
  <c r="C32"/>
  <c r="AJ31"/>
  <c r="D31"/>
  <c r="C31"/>
  <c r="AJ30"/>
  <c r="D30"/>
  <c r="C30"/>
  <c r="AJ28"/>
  <c r="D28"/>
  <c r="C28"/>
  <c r="AJ27"/>
  <c r="D27"/>
  <c r="C27"/>
  <c r="B27"/>
  <c r="AJ26"/>
  <c r="D26"/>
  <c r="C26"/>
  <c r="B26"/>
  <c r="AJ25"/>
  <c r="D25"/>
  <c r="C25"/>
  <c r="AJ24"/>
  <c r="D24"/>
  <c r="AJ23"/>
  <c r="D23"/>
  <c r="C23"/>
  <c r="AJ22"/>
  <c r="D22"/>
  <c r="C22"/>
  <c r="AJ21"/>
  <c r="D21"/>
  <c r="C21"/>
  <c r="B21"/>
  <c r="AJ20"/>
  <c r="D20"/>
  <c r="C20"/>
  <c r="B20"/>
  <c r="AJ19"/>
  <c r="D19"/>
  <c r="C19"/>
  <c r="AJ18"/>
  <c r="D18"/>
  <c r="C18"/>
  <c r="AJ17"/>
  <c r="AH17"/>
  <c r="AG17"/>
  <c r="AF17"/>
  <c r="D17"/>
  <c r="C17"/>
  <c r="AJ16"/>
  <c r="C16"/>
  <c r="AJ15"/>
  <c r="AH15"/>
  <c r="AG15"/>
  <c r="AF15"/>
  <c r="D15"/>
  <c r="C15"/>
  <c r="AJ14"/>
  <c r="D14"/>
  <c r="C14"/>
  <c r="B14"/>
  <c r="AJ13"/>
  <c r="D13"/>
  <c r="C13"/>
  <c r="B13"/>
  <c r="AJ12"/>
  <c r="D12"/>
  <c r="C12"/>
  <c r="B12"/>
  <c r="AJ11"/>
  <c r="AH11"/>
  <c r="AG11"/>
  <c r="AF11"/>
  <c r="D11"/>
  <c r="C11"/>
  <c r="B10" l="1"/>
  <c r="B10" i="45"/>
  <c r="B15"/>
  <c r="D15"/>
  <c r="D10"/>
  <c r="C71"/>
  <c r="B66" i="59"/>
  <c r="D71" i="45"/>
  <c r="B79" i="59"/>
  <c r="C62" i="45"/>
  <c r="D24" i="59"/>
  <c r="D25"/>
  <c r="D27"/>
  <c r="D75" i="45"/>
  <c r="B84"/>
  <c r="B72" i="59"/>
  <c r="B73"/>
  <c r="B74"/>
  <c r="B11"/>
  <c r="B12"/>
  <c r="B13"/>
  <c r="B36"/>
  <c r="B37"/>
  <c r="B38"/>
  <c r="B39"/>
  <c r="B40"/>
  <c r="B41"/>
  <c r="B42"/>
  <c r="B43"/>
  <c r="B65"/>
  <c r="B67"/>
  <c r="D77"/>
  <c r="B80"/>
  <c r="B85"/>
  <c r="B86"/>
  <c r="B18"/>
  <c r="B20"/>
  <c r="B23"/>
  <c r="B35"/>
  <c r="B76"/>
  <c r="B77"/>
  <c r="B87"/>
  <c r="B16"/>
  <c r="B17"/>
  <c r="B19"/>
  <c r="B21"/>
  <c r="B22"/>
  <c r="B44"/>
  <c r="B24"/>
  <c r="B25"/>
  <c r="B26"/>
  <c r="B27"/>
  <c r="B78"/>
  <c r="B28" i="45"/>
  <c r="C75"/>
  <c r="B30" i="59"/>
  <c r="B47"/>
  <c r="B48"/>
  <c r="B49"/>
  <c r="B50"/>
  <c r="B51"/>
  <c r="B52"/>
  <c r="B53"/>
  <c r="B54"/>
  <c r="B55"/>
  <c r="B56"/>
  <c r="B57"/>
  <c r="B58"/>
  <c r="B59"/>
  <c r="B60"/>
  <c r="B61"/>
  <c r="B31"/>
  <c r="B46"/>
  <c r="B29"/>
  <c r="B32"/>
  <c r="B45"/>
  <c r="B33"/>
  <c r="B34"/>
  <c r="B81"/>
  <c r="B75" i="45"/>
  <c r="D16" i="59"/>
  <c r="D34"/>
  <c r="D65"/>
  <c r="C87"/>
  <c r="D20"/>
  <c r="D22"/>
  <c r="D11"/>
  <c r="D36"/>
  <c r="C12"/>
  <c r="AG10" i="60"/>
  <c r="D29" i="59"/>
  <c r="D45"/>
  <c r="D52"/>
  <c r="D59"/>
  <c r="B70"/>
  <c r="B63"/>
  <c r="B64"/>
  <c r="D43"/>
  <c r="B68"/>
  <c r="B69"/>
  <c r="D72"/>
  <c r="D73"/>
  <c r="D74"/>
  <c r="D78"/>
  <c r="D79"/>
  <c r="D80"/>
  <c r="D61"/>
  <c r="D50"/>
  <c r="D28" i="45"/>
  <c r="B82" i="59"/>
  <c r="B83"/>
  <c r="AK39" i="60"/>
  <c r="C10"/>
  <c r="AF10"/>
  <c r="D17" i="59"/>
  <c r="D18"/>
  <c r="D19"/>
  <c r="D21"/>
  <c r="D23"/>
  <c r="D26"/>
  <c r="AH10" i="60"/>
  <c r="AK23"/>
  <c r="AK25"/>
  <c r="AK28"/>
  <c r="AK30"/>
  <c r="AK32"/>
  <c r="C33"/>
  <c r="C32" i="59" s="1"/>
  <c r="AK40" i="60"/>
  <c r="AK41"/>
  <c r="AK43"/>
  <c r="AK48"/>
  <c r="AK49"/>
  <c r="AK70"/>
  <c r="AK86"/>
  <c r="C87"/>
  <c r="C86" i="59" s="1"/>
  <c r="C35" i="60"/>
  <c r="C34" i="59" s="1"/>
  <c r="AK88" i="60"/>
  <c r="C38" i="59"/>
  <c r="C50"/>
  <c r="C72"/>
  <c r="C54"/>
  <c r="C81"/>
  <c r="D62" i="45"/>
  <c r="C63" i="59"/>
  <c r="D67"/>
  <c r="D63"/>
  <c r="D86"/>
  <c r="D69"/>
  <c r="AK38" i="60"/>
  <c r="AK53"/>
  <c r="AK57"/>
  <c r="AK65"/>
  <c r="AK71"/>
  <c r="AK11"/>
  <c r="AK13"/>
  <c r="AK18"/>
  <c r="AK20"/>
  <c r="AK69"/>
  <c r="AK83"/>
  <c r="AK22"/>
  <c r="AK80"/>
  <c r="AK21"/>
  <c r="AK47"/>
  <c r="AK58"/>
  <c r="AK60"/>
  <c r="AK72"/>
  <c r="AK74"/>
  <c r="AK27"/>
  <c r="AK31"/>
  <c r="AK34"/>
  <c r="AK37"/>
  <c r="AK50"/>
  <c r="AK51"/>
  <c r="AK56"/>
  <c r="AK64"/>
  <c r="AK55"/>
  <c r="AK68"/>
  <c r="AK82"/>
  <c r="AK14"/>
  <c r="AK16"/>
  <c r="AK19"/>
  <c r="AK26"/>
  <c r="AK36"/>
  <c r="AK44"/>
  <c r="AK46"/>
  <c r="AK54"/>
  <c r="AK62"/>
  <c r="AK75"/>
  <c r="AK81"/>
  <c r="D10"/>
  <c r="AK12"/>
  <c r="AK15"/>
  <c r="AK17"/>
  <c r="AK42"/>
  <c r="AK52"/>
  <c r="AK61"/>
  <c r="AK66"/>
  <c r="AK67"/>
  <c r="AK73"/>
  <c r="AK77"/>
  <c r="AK85"/>
  <c r="AK59"/>
  <c r="AJ76"/>
  <c r="AJ10"/>
  <c r="C76"/>
  <c r="C79"/>
  <c r="C78" i="59" s="1"/>
  <c r="AJ79" i="60"/>
  <c r="C16" i="59"/>
  <c r="C17"/>
  <c r="C18"/>
  <c r="C19"/>
  <c r="C20"/>
  <c r="C21"/>
  <c r="C22"/>
  <c r="C24"/>
  <c r="C25"/>
  <c r="C26"/>
  <c r="C27"/>
  <c r="C64"/>
  <c r="C65"/>
  <c r="C66"/>
  <c r="C67"/>
  <c r="C68"/>
  <c r="C69"/>
  <c r="C70"/>
  <c r="D76"/>
  <c r="D81"/>
  <c r="D82"/>
  <c r="D83"/>
  <c r="D30"/>
  <c r="D31"/>
  <c r="D32"/>
  <c r="D33"/>
  <c r="D35"/>
  <c r="D37"/>
  <c r="D38"/>
  <c r="D39"/>
  <c r="D40"/>
  <c r="D41"/>
  <c r="D42"/>
  <c r="D44"/>
  <c r="D46"/>
  <c r="D47"/>
  <c r="D48"/>
  <c r="D49"/>
  <c r="D51"/>
  <c r="D53"/>
  <c r="D54"/>
  <c r="D55"/>
  <c r="D56"/>
  <c r="D57"/>
  <c r="D58"/>
  <c r="D60"/>
  <c r="C73"/>
  <c r="C74"/>
  <c r="C76"/>
  <c r="C79"/>
  <c r="C80"/>
  <c r="C82"/>
  <c r="C24" i="60"/>
  <c r="AK24" s="1"/>
  <c r="C84"/>
  <c r="C83" i="59" s="1"/>
  <c r="D12"/>
  <c r="D13"/>
  <c r="D14"/>
  <c r="C29"/>
  <c r="C30"/>
  <c r="C31"/>
  <c r="C33"/>
  <c r="C35"/>
  <c r="C36"/>
  <c r="C37"/>
  <c r="C39"/>
  <c r="C40"/>
  <c r="C41"/>
  <c r="C42"/>
  <c r="C43"/>
  <c r="C45"/>
  <c r="C46"/>
  <c r="C47"/>
  <c r="C48"/>
  <c r="C49"/>
  <c r="C51"/>
  <c r="C52"/>
  <c r="C53"/>
  <c r="C55"/>
  <c r="C56"/>
  <c r="C57"/>
  <c r="C58"/>
  <c r="C59"/>
  <c r="C60"/>
  <c r="C61"/>
  <c r="D85"/>
  <c r="D87"/>
  <c r="C45" i="60"/>
  <c r="AK45" s="1"/>
  <c r="C78"/>
  <c r="C77" i="59" s="1"/>
  <c r="C11"/>
  <c r="C13"/>
  <c r="C14"/>
  <c r="D64"/>
  <c r="D66"/>
  <c r="D68"/>
  <c r="D70"/>
  <c r="C85"/>
  <c r="C84" i="45"/>
  <c r="D84"/>
  <c r="C10"/>
  <c r="C15"/>
  <c r="C28"/>
  <c r="B9" l="1"/>
  <c r="B9" i="59"/>
  <c r="AK87" i="60"/>
  <c r="D9" i="45"/>
  <c r="E9"/>
  <c r="AK33" i="60"/>
  <c r="AK35"/>
  <c r="AJ29"/>
  <c r="C29"/>
  <c r="AK78"/>
  <c r="AK79"/>
  <c r="D9" i="59"/>
  <c r="AK84" i="60"/>
  <c r="C44" i="59"/>
  <c r="AK76" i="60"/>
  <c r="C23" i="59"/>
  <c r="AK10" i="60"/>
  <c r="C9" i="45"/>
  <c r="AK29" i="60" l="1"/>
  <c r="C9" i="59"/>
</calcChain>
</file>

<file path=xl/sharedStrings.xml><?xml version="1.0" encoding="utf-8"?>
<sst xmlns="http://schemas.openxmlformats.org/spreadsheetml/2006/main" count="1506" uniqueCount="119">
  <si>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</si>
  <si>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</si>
  <si>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</si>
  <si>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</si>
  <si>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</si>
  <si>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другие транспортные расходы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</si>
  <si>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</si>
  <si>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</si>
  <si>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</si>
  <si>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</si>
  <si>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</si>
  <si>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</si>
  <si>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</si>
  <si>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</si>
  <si>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</si>
  <si>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</si>
  <si>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</si>
  <si>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</si>
  <si>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</si>
  <si>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</si>
  <si>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</si>
  <si>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</si>
  <si>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</si>
  <si>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</si>
  <si>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</si>
  <si>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</si>
  <si>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</si>
  <si>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</si>
  <si>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</si>
  <si>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</si>
  <si>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</si>
  <si>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</si>
  <si>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</si>
  <si>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</si>
  <si>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</si>
  <si>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</si>
  <si>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</si>
  <si>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</si>
  <si>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</si>
  <si>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</si>
  <si>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</si>
  <si>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</si>
  <si>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</si>
  <si>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</si>
  <si>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</si>
  <si>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изготовление энергопаспортов для учреждений</t>
  </si>
  <si>
    <t>Главный бухгалтер</t>
  </si>
  <si>
    <t>Руководитель</t>
  </si>
  <si>
    <t>Исполнитель</t>
  </si>
  <si>
    <t>Наименование показателей</t>
  </si>
  <si>
    <t>Годовой план на 01.01.2019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</si>
  <si>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2018 год</t>
    </r>
  </si>
  <si>
    <t>Фактическое исполнение на 01.02.2019</t>
  </si>
  <si>
    <t>Приложение 1</t>
  </si>
  <si>
    <t>свод</t>
  </si>
  <si>
    <t>Собрание</t>
  </si>
  <si>
    <t>Администрация</t>
  </si>
  <si>
    <t>КСП</t>
  </si>
  <si>
    <t xml:space="preserve">Фин управление </t>
  </si>
  <si>
    <t>Отдел культуры</t>
  </si>
  <si>
    <t>Управление образования</t>
  </si>
  <si>
    <t>ЖКХ</t>
  </si>
  <si>
    <t>УСЗН</t>
  </si>
  <si>
    <t>Комитет</t>
  </si>
  <si>
    <t>ЗАГС</t>
  </si>
  <si>
    <t>________________________________________________________________________________</t>
  </si>
  <si>
    <t>(тыс. рублей)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</si>
  <si>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</si>
  <si>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</si>
  <si>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t>Транспортные расходы:</t>
  </si>
  <si>
    <t>подвоз учащихся в образовательные учреждения</t>
  </si>
  <si>
    <t>компенсация за использование личного транспорта для служебных целей</t>
  </si>
  <si>
    <t>Содержание имущества:</t>
  </si>
  <si>
    <t>содержание и ремонт оргтехники, оборудования</t>
  </si>
  <si>
    <t>ремонт и технический осмотр автотранспорта</t>
  </si>
  <si>
    <t>Прочие работы, услуги:</t>
  </si>
  <si>
    <t>услуги по изготовлению бланочной продукции</t>
  </si>
  <si>
    <t>маркетинговые исследования</t>
  </si>
  <si>
    <t>топографические услуги, съемки, межевание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</si>
  <si>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</si>
  <si>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</si>
  <si>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</si>
  <si>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</si>
  <si>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</si>
  <si>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</si>
  <si>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</si>
  <si>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</si>
  <si>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</si>
  <si>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</si>
  <si>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</si>
  <si>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</si>
  <si>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</si>
  <si>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</si>
  <si>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мягкого инвентаря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</si>
  <si>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</si>
  <si>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</si>
  <si>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</si>
  <si>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</si>
  <si>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</si>
  <si>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</si>
  <si>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</si>
  <si>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</si>
  <si>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Миллеровский район</t>
  </si>
  <si>
    <t>Руководитель бюджетного отдела</t>
  </si>
  <si>
    <t>Л.Б.Сысоенко</t>
  </si>
  <si>
    <t>Н.В.Никодина</t>
  </si>
  <si>
    <t>Н.Н. Столярова</t>
  </si>
  <si>
    <t>Исполнитель: Столярова Н.Н.</t>
  </si>
  <si>
    <t xml:space="preserve">                    Чумакова И.В.</t>
  </si>
  <si>
    <t xml:space="preserve"> 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</si>
  <si>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2020 год</t>
    </r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</si>
  <si>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2020 год</t>
    </r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</si>
  <si>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2021 год</t>
    </r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</si>
  <si>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2021 год</t>
    </r>
  </si>
  <si>
    <r>
      <t>____________________________</t>
    </r>
    <r>
      <rPr>
        <b/>
        <u/>
        <sz val="12"/>
        <rFont val="Times New Roman"/>
        <family val="1"/>
        <charset val="204"/>
      </rPr>
      <t>Миллеровский район</t>
    </r>
    <r>
      <rPr>
        <b/>
        <sz val="12"/>
        <rFont val="Times New Roman"/>
        <family val="1"/>
        <charset val="204"/>
      </rPr>
      <t>___________________________________________________</t>
    </r>
  </si>
  <si>
    <t>Фактическое исполнение на 01.03.2022</t>
  </si>
  <si>
    <t>Годовой план на 01.03.2022</t>
  </si>
  <si>
    <t>Годовой план на 01.03.22</t>
  </si>
  <si>
    <t>Фактическое исполнение на  01.03.2022</t>
  </si>
</sst>
</file>

<file path=xl/styles.xml><?xml version="1.0" encoding="utf-8"?>
<styleSheet xmlns="http://schemas.openxmlformats.org/spreadsheetml/2006/main">
  <numFmts count="11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0.0"/>
    <numFmt numFmtId="167" formatCode="#,##0.0_ ;\-#,##0.0\ "/>
    <numFmt numFmtId="168" formatCode="_-* #,##0.00_р_._-;\-* #,##0.00_р_._-;_-* &quot;-&quot;?_р_._-;_-@_-"/>
    <numFmt numFmtId="169" formatCode="#,##0.00_ ;\-#,##0.00\ "/>
    <numFmt numFmtId="170" formatCode="#,##0.0_ ;[Red]\-#,##0.0\ "/>
    <numFmt numFmtId="171" formatCode="_-* #,##0.0_р_._-;\-* #,##0.0_р_._-;_-* \-?_р_._-;_-@_-"/>
    <numFmt numFmtId="172" formatCode="0.00_ ;\-0.00\ "/>
    <numFmt numFmtId="173" formatCode="_-* #,##0.00_р_._-;\-* #,##0.00_р_._-;_-* \-??_р_._-;_-@_-"/>
  </numFmts>
  <fonts count="3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i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4">
    <xf numFmtId="0" fontId="0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6" fillId="0" borderId="0" applyFont="0" applyFill="0" applyBorder="0" applyAlignment="0" applyProtection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6" fillId="0" borderId="0" applyFont="0" applyFill="0" applyBorder="0" applyAlignment="0" applyProtection="0"/>
    <xf numFmtId="0" fontId="35" fillId="0" borderId="0"/>
    <xf numFmtId="173" fontId="35" fillId="0" borderId="0" applyFill="0" applyBorder="0" applyAlignment="0" applyProtection="0"/>
  </cellStyleXfs>
  <cellXfs count="210">
    <xf numFmtId="0" fontId="0" fillId="0" borderId="0" xfId="0"/>
    <xf numFmtId="0" fontId="19" fillId="0" borderId="0" xfId="0" applyFont="1" applyFill="1" applyAlignment="1">
      <alignment vertical="center"/>
    </xf>
    <xf numFmtId="1" fontId="19" fillId="0" borderId="0" xfId="0" applyNumberFormat="1" applyFont="1" applyFill="1" applyBorder="1" applyAlignment="1">
      <alignment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vertical="center"/>
    </xf>
    <xf numFmtId="1" fontId="21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right" vertical="center" wrapText="1"/>
    </xf>
    <xf numFmtId="164" fontId="22" fillId="0" borderId="1" xfId="0" applyNumberFormat="1" applyFont="1" applyFill="1" applyBorder="1" applyAlignment="1">
      <alignment horizontal="right" vertical="center" wrapText="1"/>
    </xf>
    <xf numFmtId="4" fontId="19" fillId="0" borderId="0" xfId="0" applyNumberFormat="1" applyFont="1" applyFill="1" applyAlignment="1">
      <alignment vertical="center"/>
    </xf>
    <xf numFmtId="4" fontId="21" fillId="0" borderId="1" xfId="0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right"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vertical="center"/>
    </xf>
    <xf numFmtId="4" fontId="27" fillId="0" borderId="1" xfId="0" applyNumberFormat="1" applyFont="1" applyFill="1" applyBorder="1" applyAlignment="1">
      <alignment horizontal="right" vertical="center" wrapText="1"/>
    </xf>
    <xf numFmtId="4" fontId="19" fillId="0" borderId="1" xfId="0" applyNumberFormat="1" applyFont="1" applyFill="1" applyBorder="1" applyAlignment="1">
      <alignment horizontal="right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right" vertical="center"/>
    </xf>
    <xf numFmtId="165" fontId="19" fillId="0" borderId="1" xfId="57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49" fontId="21" fillId="2" borderId="1" xfId="0" applyNumberFormat="1" applyFont="1" applyFill="1" applyBorder="1" applyAlignment="1">
      <alignment horizontal="left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left" vertical="center" wrapText="1"/>
    </xf>
    <xf numFmtId="164" fontId="21" fillId="2" borderId="1" xfId="0" applyNumberFormat="1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166" fontId="22" fillId="0" borderId="1" xfId="0" applyNumberFormat="1" applyFont="1" applyFill="1" applyBorder="1" applyAlignment="1">
      <alignment horizontal="right" vertical="center" wrapText="1"/>
    </xf>
    <xf numFmtId="164" fontId="24" fillId="0" borderId="1" xfId="0" applyNumberFormat="1" applyFont="1" applyFill="1" applyBorder="1" applyAlignment="1">
      <alignment horizontal="right" vertical="center" wrapText="1"/>
    </xf>
    <xf numFmtId="166" fontId="24" fillId="0" borderId="1" xfId="0" applyNumberFormat="1" applyFont="1" applyFill="1" applyBorder="1" applyAlignment="1">
      <alignment horizontal="right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right" vertical="center" wrapText="1"/>
    </xf>
    <xf numFmtId="2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1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/>
    </xf>
    <xf numFmtId="165" fontId="19" fillId="0" borderId="1" xfId="57" applyNumberFormat="1" applyFont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 wrapText="1"/>
    </xf>
    <xf numFmtId="166" fontId="19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 wrapText="1"/>
    </xf>
    <xf numFmtId="166" fontId="21" fillId="0" borderId="1" xfId="0" applyNumberFormat="1" applyFont="1" applyFill="1" applyBorder="1" applyAlignment="1">
      <alignment horizontal="center" vertical="center"/>
    </xf>
    <xf numFmtId="166" fontId="19" fillId="0" borderId="1" xfId="57" applyNumberFormat="1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right" vertical="center" wrapText="1"/>
    </xf>
    <xf numFmtId="49" fontId="24" fillId="0" borderId="1" xfId="0" applyNumberFormat="1" applyFont="1" applyFill="1" applyBorder="1" applyAlignment="1">
      <alignment horizontal="right" vertical="center" wrapText="1"/>
    </xf>
    <xf numFmtId="165" fontId="24" fillId="0" borderId="1" xfId="0" applyNumberFormat="1" applyFont="1" applyFill="1" applyBorder="1" applyAlignment="1">
      <alignment horizontal="right" vertical="center"/>
    </xf>
    <xf numFmtId="165" fontId="21" fillId="0" borderId="1" xfId="57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64" fontId="19" fillId="0" borderId="1" xfId="57" applyNumberFormat="1" applyFont="1" applyFill="1" applyBorder="1" applyAlignment="1">
      <alignment horizontal="center" vertical="center"/>
    </xf>
    <xf numFmtId="167" fontId="19" fillId="0" borderId="1" xfId="0" applyNumberFormat="1" applyFont="1" applyFill="1" applyBorder="1" applyAlignment="1">
      <alignment horizontal="center" vertical="center"/>
    </xf>
    <xf numFmtId="169" fontId="19" fillId="0" borderId="1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Alignment="1">
      <alignment vertical="center"/>
    </xf>
    <xf numFmtId="168" fontId="21" fillId="0" borderId="1" xfId="0" applyNumberFormat="1" applyFont="1" applyFill="1" applyBorder="1" applyAlignment="1">
      <alignment horizontal="center" vertical="center" wrapText="1"/>
    </xf>
    <xf numFmtId="170" fontId="21" fillId="0" borderId="1" xfId="0" applyNumberFormat="1" applyFont="1" applyFill="1" applyBorder="1" applyAlignment="1">
      <alignment horizontal="center" vertical="center" wrapText="1"/>
    </xf>
    <xf numFmtId="170" fontId="19" fillId="0" borderId="1" xfId="0" applyNumberFormat="1" applyFont="1" applyFill="1" applyBorder="1" applyAlignment="1">
      <alignment horizontal="center" vertical="center"/>
    </xf>
    <xf numFmtId="170" fontId="19" fillId="0" borderId="1" xfId="57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7" fontId="21" fillId="0" borderId="1" xfId="0" applyNumberFormat="1" applyFont="1" applyFill="1" applyBorder="1" applyAlignment="1">
      <alignment horizontal="center" vertical="center" wrapText="1"/>
    </xf>
    <xf numFmtId="169" fontId="22" fillId="0" borderId="1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horizontal="right" vertical="center" wrapText="1"/>
    </xf>
    <xf numFmtId="2" fontId="22" fillId="0" borderId="2" xfId="0" applyNumberFormat="1" applyFont="1" applyFill="1" applyBorder="1" applyAlignment="1">
      <alignment horizontal="right" vertical="center" wrapText="1"/>
    </xf>
    <xf numFmtId="2" fontId="22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left" vertical="center" wrapText="1"/>
    </xf>
    <xf numFmtId="165" fontId="21" fillId="4" borderId="1" xfId="0" applyNumberFormat="1" applyFont="1" applyFill="1" applyBorder="1" applyAlignment="1">
      <alignment horizontal="center" vertical="center" wrapText="1"/>
    </xf>
    <xf numFmtId="165" fontId="19" fillId="4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3" fontId="21" fillId="0" borderId="1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center"/>
    </xf>
    <xf numFmtId="164" fontId="19" fillId="0" borderId="0" xfId="0" applyNumberFormat="1" applyFont="1" applyFill="1" applyAlignment="1">
      <alignment vertical="center"/>
    </xf>
    <xf numFmtId="2" fontId="21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172" fontId="19" fillId="3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 wrapText="1"/>
    </xf>
    <xf numFmtId="0" fontId="31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center" vertical="center"/>
    </xf>
    <xf numFmtId="2" fontId="21" fillId="0" borderId="1" xfId="0" applyNumberFormat="1" applyFont="1" applyFill="1" applyBorder="1" applyAlignment="1">
      <alignment wrapText="1"/>
    </xf>
    <xf numFmtId="2" fontId="19" fillId="0" borderId="1" xfId="0" applyNumberFormat="1" applyFont="1" applyFill="1" applyBorder="1" applyAlignment="1"/>
    <xf numFmtId="2" fontId="21" fillId="0" borderId="1" xfId="0" applyNumberFormat="1" applyFont="1" applyFill="1" applyBorder="1" applyAlignment="1"/>
    <xf numFmtId="2" fontId="22" fillId="0" borderId="1" xfId="0" applyNumberFormat="1" applyFont="1" applyFill="1" applyBorder="1" applyAlignment="1"/>
    <xf numFmtId="167" fontId="19" fillId="3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right" vertical="center" wrapText="1"/>
    </xf>
    <xf numFmtId="165" fontId="19" fillId="0" borderId="1" xfId="0" applyNumberFormat="1" applyFont="1" applyFill="1" applyBorder="1" applyAlignment="1">
      <alignment horizontal="right" vertical="center"/>
    </xf>
    <xf numFmtId="165" fontId="21" fillId="0" borderId="1" xfId="0" applyNumberFormat="1" applyFont="1" applyFill="1" applyBorder="1" applyAlignment="1">
      <alignment horizontal="right" vertical="center"/>
    </xf>
    <xf numFmtId="167" fontId="19" fillId="0" borderId="1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5" fontId="32" fillId="3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vertical="top"/>
    </xf>
    <xf numFmtId="165" fontId="19" fillId="0" borderId="0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5" fontId="21" fillId="0" borderId="0" xfId="0" applyNumberFormat="1" applyFont="1" applyFill="1" applyBorder="1" applyAlignment="1">
      <alignment horizontal="center" vertical="center"/>
    </xf>
    <xf numFmtId="165" fontId="22" fillId="0" borderId="0" xfId="0" applyNumberFormat="1" applyFont="1" applyFill="1" applyBorder="1" applyAlignment="1">
      <alignment horizontal="right" vertical="center"/>
    </xf>
    <xf numFmtId="49" fontId="22" fillId="0" borderId="0" xfId="0" applyNumberFormat="1" applyFont="1" applyFill="1" applyBorder="1" applyAlignment="1">
      <alignment horizontal="right" vertical="center" wrapText="1"/>
    </xf>
    <xf numFmtId="2" fontId="19" fillId="0" borderId="0" xfId="0" applyNumberFormat="1" applyFont="1" applyFill="1" applyBorder="1" applyAlignment="1">
      <alignment horizontal="center" vertical="center"/>
    </xf>
    <xf numFmtId="2" fontId="19" fillId="0" borderId="0" xfId="57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2" fontId="19" fillId="0" borderId="1" xfId="57" applyNumberFormat="1" applyFont="1" applyFill="1" applyBorder="1" applyAlignment="1">
      <alignment horizontal="center" vertical="center"/>
    </xf>
    <xf numFmtId="165" fontId="33" fillId="0" borderId="1" xfId="0" applyNumberFormat="1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166" fontId="22" fillId="0" borderId="1" xfId="0" applyNumberFormat="1" applyFont="1" applyFill="1" applyBorder="1" applyAlignment="1">
      <alignment horizontal="right" vertical="center"/>
    </xf>
    <xf numFmtId="166" fontId="21" fillId="0" borderId="1" xfId="0" applyNumberFormat="1" applyFont="1" applyFill="1" applyBorder="1" applyAlignment="1">
      <alignment horizontal="right" vertical="center" wrapText="1"/>
    </xf>
    <xf numFmtId="166" fontId="19" fillId="0" borderId="1" xfId="0" applyNumberFormat="1" applyFont="1" applyFill="1" applyBorder="1" applyAlignment="1">
      <alignment horizontal="right" vertical="center"/>
    </xf>
    <xf numFmtId="166" fontId="21" fillId="0" borderId="1" xfId="0" applyNumberFormat="1" applyFont="1" applyFill="1" applyBorder="1" applyAlignment="1">
      <alignment horizontal="right" vertical="center"/>
    </xf>
    <xf numFmtId="166" fontId="19" fillId="0" borderId="1" xfId="57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" fontId="19" fillId="0" borderId="5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166" fontId="21" fillId="0" borderId="1" xfId="0" applyNumberFormat="1" applyFont="1" applyBorder="1" applyAlignment="1">
      <alignment horizontal="center" vertical="center" wrapText="1"/>
    </xf>
    <xf numFmtId="166" fontId="19" fillId="0" borderId="1" xfId="0" applyNumberFormat="1" applyFont="1" applyBorder="1" applyAlignment="1">
      <alignment horizontal="center" vertical="center"/>
    </xf>
    <xf numFmtId="166" fontId="21" fillId="0" borderId="1" xfId="0" applyNumberFormat="1" applyFont="1" applyBorder="1" applyAlignment="1">
      <alignment horizontal="center" vertical="center"/>
    </xf>
    <xf numFmtId="166" fontId="22" fillId="0" borderId="1" xfId="0" applyNumberFormat="1" applyFont="1" applyBorder="1" applyAlignment="1">
      <alignment horizontal="right" vertical="center"/>
    </xf>
    <xf numFmtId="166" fontId="19" fillId="0" borderId="1" xfId="57" applyNumberFormat="1" applyFont="1" applyBorder="1" applyAlignment="1">
      <alignment horizontal="center" vertical="center"/>
    </xf>
    <xf numFmtId="172" fontId="34" fillId="0" borderId="1" xfId="0" applyNumberFormat="1" applyFont="1" applyBorder="1" applyAlignment="1">
      <alignment horizontal="center" vertical="center" wrapText="1"/>
    </xf>
    <xf numFmtId="172" fontId="34" fillId="4" borderId="1" xfId="0" applyNumberFormat="1" applyFont="1" applyFill="1" applyBorder="1" applyAlignment="1">
      <alignment horizontal="center" vertical="center" wrapText="1"/>
    </xf>
    <xf numFmtId="172" fontId="31" fillId="0" borderId="1" xfId="0" applyNumberFormat="1" applyFont="1" applyBorder="1" applyAlignment="1">
      <alignment horizontal="center" vertical="center"/>
    </xf>
    <xf numFmtId="172" fontId="31" fillId="3" borderId="1" xfId="0" applyNumberFormat="1" applyFont="1" applyFill="1" applyBorder="1" applyAlignment="1">
      <alignment horizontal="center" vertical="center"/>
    </xf>
    <xf numFmtId="172" fontId="31" fillId="4" borderId="1" xfId="0" applyNumberFormat="1" applyFont="1" applyFill="1" applyBorder="1" applyAlignment="1">
      <alignment horizontal="center" vertical="center"/>
    </xf>
    <xf numFmtId="165" fontId="31" fillId="4" borderId="1" xfId="0" applyNumberFormat="1" applyFont="1" applyFill="1" applyBorder="1" applyAlignment="1">
      <alignment vertical="center"/>
    </xf>
    <xf numFmtId="171" fontId="21" fillId="3" borderId="5" xfId="112" applyNumberFormat="1" applyFont="1" applyFill="1" applyBorder="1" applyAlignment="1">
      <alignment horizontal="center" vertical="center" wrapText="1"/>
    </xf>
    <xf numFmtId="171" fontId="19" fillId="3" borderId="5" xfId="112" applyNumberFormat="1" applyFont="1" applyFill="1" applyBorder="1" applyAlignment="1">
      <alignment horizontal="center" vertical="center"/>
    </xf>
    <xf numFmtId="171" fontId="21" fillId="3" borderId="5" xfId="112" applyNumberFormat="1" applyFont="1" applyFill="1" applyBorder="1" applyAlignment="1">
      <alignment horizontal="center" vertical="center"/>
    </xf>
    <xf numFmtId="171" fontId="19" fillId="3" borderId="5" xfId="113" applyNumberFormat="1" applyFont="1" applyFill="1" applyBorder="1" applyAlignment="1" applyProtection="1">
      <alignment horizontal="center" vertical="center"/>
    </xf>
    <xf numFmtId="171" fontId="22" fillId="3" borderId="5" xfId="112" applyNumberFormat="1" applyFont="1" applyFill="1" applyBorder="1" applyAlignment="1">
      <alignment horizontal="right" vertical="center"/>
    </xf>
    <xf numFmtId="169" fontId="21" fillId="3" borderId="1" xfId="0" applyNumberFormat="1" applyFont="1" applyFill="1" applyBorder="1" applyAlignment="1">
      <alignment horizontal="center" vertical="center" wrapText="1"/>
    </xf>
    <xf numFmtId="165" fontId="21" fillId="3" borderId="1" xfId="0" applyNumberFormat="1" applyFont="1" applyFill="1" applyBorder="1" applyAlignment="1">
      <alignment horizontal="center" vertical="center" wrapText="1"/>
    </xf>
    <xf numFmtId="165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21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 wrapText="1"/>
    </xf>
    <xf numFmtId="2" fontId="21" fillId="3" borderId="1" xfId="0" applyNumberFormat="1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165" fontId="19" fillId="0" borderId="1" xfId="57" applyNumberFormat="1" applyFont="1" applyFill="1" applyBorder="1" applyAlignment="1">
      <alignment horizontal="center" vertical="center"/>
    </xf>
    <xf numFmtId="165" fontId="22" fillId="0" borderId="1" xfId="0" applyNumberFormat="1" applyFont="1" applyFill="1" applyBorder="1" applyAlignment="1">
      <alignment horizontal="right" vertical="center"/>
    </xf>
    <xf numFmtId="168" fontId="19" fillId="0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right" vertical="center"/>
    </xf>
    <xf numFmtId="4" fontId="19" fillId="0" borderId="1" xfId="57" applyNumberFormat="1" applyFont="1" applyFill="1" applyBorder="1" applyAlignment="1">
      <alignment horizontal="center" vertical="center"/>
    </xf>
    <xf numFmtId="170" fontId="19" fillId="3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70" fontId="19" fillId="5" borderId="1" xfId="0" applyNumberFormat="1" applyFont="1" applyFill="1" applyBorder="1" applyAlignment="1">
      <alignment horizontal="center" vertical="center"/>
    </xf>
    <xf numFmtId="49" fontId="36" fillId="0" borderId="1" xfId="0" applyNumberFormat="1" applyFont="1" applyFill="1" applyBorder="1" applyAlignment="1">
      <alignment horizontal="right" vertical="center" wrapText="1"/>
    </xf>
    <xf numFmtId="172" fontId="19" fillId="4" borderId="1" xfId="0" applyNumberFormat="1" applyFont="1" applyFill="1" applyBorder="1" applyAlignment="1">
      <alignment horizontal="center" vertical="center"/>
    </xf>
    <xf numFmtId="165" fontId="19" fillId="4" borderId="1" xfId="0" applyNumberFormat="1" applyFont="1" applyFill="1" applyBorder="1" applyAlignment="1">
      <alignment vertical="center"/>
    </xf>
    <xf numFmtId="172" fontId="19" fillId="0" borderId="1" xfId="0" applyNumberFormat="1" applyFont="1" applyBorder="1" applyAlignment="1">
      <alignment horizontal="center" vertical="center"/>
    </xf>
    <xf numFmtId="169" fontId="21" fillId="3" borderId="1" xfId="0" applyNumberFormat="1" applyFont="1" applyFill="1" applyBorder="1" applyAlignment="1">
      <alignment horizontal="center" vertical="center" wrapText="1"/>
    </xf>
    <xf numFmtId="165" fontId="21" fillId="3" borderId="1" xfId="0" applyNumberFormat="1" applyFont="1" applyFill="1" applyBorder="1" applyAlignment="1">
      <alignment horizontal="center" vertical="center" wrapText="1"/>
    </xf>
    <xf numFmtId="165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21" fillId="3" borderId="1" xfId="0" applyNumberFormat="1" applyFont="1" applyFill="1" applyBorder="1" applyAlignment="1">
      <alignment horizontal="center" vertical="center"/>
    </xf>
    <xf numFmtId="165" fontId="19" fillId="3" borderId="1" xfId="57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 wrapText="1"/>
    </xf>
    <xf numFmtId="2" fontId="21" fillId="3" borderId="1" xfId="0" applyNumberFormat="1" applyFont="1" applyFill="1" applyBorder="1" applyAlignment="1">
      <alignment horizontal="center" vertical="center" wrapText="1"/>
    </xf>
    <xf numFmtId="1" fontId="19" fillId="3" borderId="1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top"/>
    </xf>
    <xf numFmtId="2" fontId="19" fillId="3" borderId="1" xfId="57" applyNumberFormat="1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165" fontId="19" fillId="0" borderId="1" xfId="57" applyNumberFormat="1" applyFont="1" applyFill="1" applyBorder="1" applyAlignment="1">
      <alignment horizontal="center" vertical="center"/>
    </xf>
    <xf numFmtId="165" fontId="22" fillId="0" borderId="1" xfId="0" applyNumberFormat="1" applyFont="1" applyFill="1" applyBorder="1" applyAlignment="1">
      <alignment horizontal="right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165" fontId="19" fillId="0" borderId="1" xfId="57" applyNumberFormat="1" applyFont="1" applyFill="1" applyBorder="1" applyAlignment="1">
      <alignment horizontal="center" vertical="center"/>
    </xf>
    <xf numFmtId="165" fontId="22" fillId="0" borderId="1" xfId="0" applyNumberFormat="1" applyFont="1" applyFill="1" applyBorder="1" applyAlignment="1">
      <alignment horizontal="right" vertical="center"/>
    </xf>
    <xf numFmtId="2" fontId="22" fillId="0" borderId="1" xfId="0" applyNumberFormat="1" applyFont="1" applyFill="1" applyBorder="1" applyAlignment="1">
      <alignment horizontal="right" vertical="center" wrapText="1"/>
    </xf>
    <xf numFmtId="164" fontId="24" fillId="0" borderId="1" xfId="0" applyNumberFormat="1" applyFont="1" applyFill="1" applyBorder="1" applyAlignment="1">
      <alignment horizontal="right" vertical="center" wrapText="1"/>
    </xf>
    <xf numFmtId="169" fontId="19" fillId="0" borderId="1" xfId="0" applyNumberFormat="1" applyFont="1" applyFill="1" applyBorder="1" applyAlignment="1">
      <alignment horizontal="center" vertical="center"/>
    </xf>
    <xf numFmtId="169" fontId="22" fillId="0" borderId="1" xfId="0" applyNumberFormat="1" applyFont="1" applyFill="1" applyBorder="1" applyAlignment="1">
      <alignment horizontal="right" vertical="center"/>
    </xf>
    <xf numFmtId="167" fontId="19" fillId="0" borderId="1" xfId="0" applyNumberFormat="1" applyFont="1" applyFill="1" applyBorder="1" applyAlignment="1">
      <alignment horizontal="center" vertical="center"/>
    </xf>
    <xf numFmtId="167" fontId="21" fillId="0" borderId="1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vertical="center" wrapText="1"/>
    </xf>
    <xf numFmtId="49" fontId="23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6" fillId="0" borderId="0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vertical="center" wrapText="1"/>
    </xf>
    <xf numFmtId="0" fontId="19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 wrapText="1"/>
    </xf>
    <xf numFmtId="49" fontId="28" fillId="0" borderId="3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</cellXfs>
  <cellStyles count="114">
    <cellStyle name="Обычный" xfId="0" builtinId="0"/>
    <cellStyle name="Обычный 10" xfId="9"/>
    <cellStyle name="Обычный 10 2" xfId="37"/>
    <cellStyle name="Обычный 10 2 2" xfId="91"/>
    <cellStyle name="Обычный 10 3" xfId="65"/>
    <cellStyle name="Обычный 11" xfId="10"/>
    <cellStyle name="Обычный 11 2" xfId="38"/>
    <cellStyle name="Обычный 11 2 2" xfId="92"/>
    <cellStyle name="Обычный 11 3" xfId="66"/>
    <cellStyle name="Обычный 12" xfId="11"/>
    <cellStyle name="Обычный 12 2" xfId="39"/>
    <cellStyle name="Обычный 12 2 2" xfId="93"/>
    <cellStyle name="Обычный 12 3" xfId="67"/>
    <cellStyle name="Обычный 13" xfId="12"/>
    <cellStyle name="Обычный 13 2" xfId="40"/>
    <cellStyle name="Обычный 13 2 2" xfId="94"/>
    <cellStyle name="Обычный 13 3" xfId="68"/>
    <cellStyle name="Обычный 14" xfId="13"/>
    <cellStyle name="Обычный 14 2" xfId="41"/>
    <cellStyle name="Обычный 14 2 2" xfId="95"/>
    <cellStyle name="Обычный 14 3" xfId="69"/>
    <cellStyle name="Обычный 15" xfId="14"/>
    <cellStyle name="Обычный 15 2" xfId="42"/>
    <cellStyle name="Обычный 15 2 2" xfId="96"/>
    <cellStyle name="Обычный 15 3" xfId="70"/>
    <cellStyle name="Обычный 16" xfId="15"/>
    <cellStyle name="Обычный 16 2" xfId="43"/>
    <cellStyle name="Обычный 16 2 2" xfId="97"/>
    <cellStyle name="Обычный 16 3" xfId="71"/>
    <cellStyle name="Обычный 17" xfId="16"/>
    <cellStyle name="Обычный 17 2" xfId="44"/>
    <cellStyle name="Обычный 17 2 2" xfId="98"/>
    <cellStyle name="Обычный 17 3" xfId="72"/>
    <cellStyle name="Обычный 18" xfId="17"/>
    <cellStyle name="Обычный 18 2" xfId="45"/>
    <cellStyle name="Обычный 18 2 2" xfId="99"/>
    <cellStyle name="Обычный 18 3" xfId="73"/>
    <cellStyle name="Обычный 19" xfId="18"/>
    <cellStyle name="Обычный 19 2" xfId="46"/>
    <cellStyle name="Обычный 19 2 2" xfId="100"/>
    <cellStyle name="Обычный 19 3" xfId="74"/>
    <cellStyle name="Обычный 2" xfId="4"/>
    <cellStyle name="Обычный 2 2" xfId="20"/>
    <cellStyle name="Обычный 2 2 2" xfId="48"/>
    <cellStyle name="Обычный 2 2 2 2" xfId="102"/>
    <cellStyle name="Обычный 2 2 3" xfId="76"/>
    <cellStyle name="Обычный 2 3" xfId="25"/>
    <cellStyle name="Обычный 2 3 2" xfId="53"/>
    <cellStyle name="Обычный 2 3 2 2" xfId="107"/>
    <cellStyle name="Обычный 2 3 3" xfId="81"/>
    <cellStyle name="Обычный 2 4" xfId="32"/>
    <cellStyle name="Обычный 2 4 2" xfId="86"/>
    <cellStyle name="Обычный 2 5" xfId="60"/>
    <cellStyle name="Обычный 20" xfId="19"/>
    <cellStyle name="Обычный 20 2" xfId="47"/>
    <cellStyle name="Обычный 20 2 2" xfId="101"/>
    <cellStyle name="Обычный 20 3" xfId="75"/>
    <cellStyle name="Обычный 21" xfId="24"/>
    <cellStyle name="Обычный 21 2" xfId="52"/>
    <cellStyle name="Обычный 21 2 2" xfId="106"/>
    <cellStyle name="Обычный 21 3" xfId="80"/>
    <cellStyle name="Обычный 22" xfId="30"/>
    <cellStyle name="Обычный 23" xfId="29"/>
    <cellStyle name="Обычный 23 2" xfId="85"/>
    <cellStyle name="Обычный 24" xfId="59"/>
    <cellStyle name="Обычный 25" xfId="58"/>
    <cellStyle name="Обычный 26" xfId="112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2 2 2" xfId="103"/>
    <cellStyle name="Обычный 6 2 3" xfId="77"/>
    <cellStyle name="Обычный 6 3" xfId="26"/>
    <cellStyle name="Обычный 6 3 2" xfId="54"/>
    <cellStyle name="Обычный 6 3 2 2" xfId="108"/>
    <cellStyle name="Обычный 6 3 3" xfId="82"/>
    <cellStyle name="Обычный 6 4" xfId="33"/>
    <cellStyle name="Обычный 6 4 2" xfId="87"/>
    <cellStyle name="Обычный 6 5" xfId="61"/>
    <cellStyle name="Обычный 7" xfId="6"/>
    <cellStyle name="Обычный 7 2" xfId="22"/>
    <cellStyle name="Обычный 7 2 2" xfId="50"/>
    <cellStyle name="Обычный 7 2 2 2" xfId="104"/>
    <cellStyle name="Обычный 7 2 3" xfId="78"/>
    <cellStyle name="Обычный 7 3" xfId="27"/>
    <cellStyle name="Обычный 7 3 2" xfId="55"/>
    <cellStyle name="Обычный 7 3 2 2" xfId="109"/>
    <cellStyle name="Обычный 7 3 3" xfId="83"/>
    <cellStyle name="Обычный 7 4" xfId="34"/>
    <cellStyle name="Обычный 7 4 2" xfId="88"/>
    <cellStyle name="Обычный 7 5" xfId="62"/>
    <cellStyle name="Обычный 8" xfId="7"/>
    <cellStyle name="Обычный 8 2" xfId="23"/>
    <cellStyle name="Обычный 8 2 2" xfId="51"/>
    <cellStyle name="Обычный 8 2 2 2" xfId="105"/>
    <cellStyle name="Обычный 8 2 3" xfId="79"/>
    <cellStyle name="Обычный 8 3" xfId="28"/>
    <cellStyle name="Обычный 8 3 2" xfId="56"/>
    <cellStyle name="Обычный 8 3 2 2" xfId="110"/>
    <cellStyle name="Обычный 8 3 3" xfId="84"/>
    <cellStyle name="Обычный 8 4" xfId="35"/>
    <cellStyle name="Обычный 8 4 2" xfId="89"/>
    <cellStyle name="Обычный 8 5" xfId="63"/>
    <cellStyle name="Обычный 9" xfId="8"/>
    <cellStyle name="Обычный 9 2" xfId="36"/>
    <cellStyle name="Обычный 9 2 2" xfId="90"/>
    <cellStyle name="Обычный 9 3" xfId="64"/>
    <cellStyle name="Финансовый" xfId="57" builtinId="3"/>
    <cellStyle name="Финансовый 2" xfId="31"/>
    <cellStyle name="Финансовый 3" xfId="111"/>
    <cellStyle name="Финансовый 4" xfId="113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h_5\&#1056;&#1072;&#1073;&#1086;&#1095;&#1080;&#1081;%20&#1089;&#1090;&#1086;&#1083;\&#1087;&#1088;&#1072;&#1074;&#1080;&#1083;&#1100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грбс"/>
      <sheetName val="Свод посел"/>
      <sheetName val="Верхнеталовка"/>
      <sheetName val="Волошино"/>
      <sheetName val="Дегтево"/>
      <sheetName val="Колодези"/>
      <sheetName val="Криворожье"/>
      <sheetName val="Мальчевская"/>
      <sheetName val="Миллерово"/>
      <sheetName val="О.-Рог"/>
      <sheetName val="Первомайское"/>
      <sheetName val="Сулин"/>
      <sheetName val="Титовка"/>
      <sheetName val="Треневка"/>
      <sheetName val="Туриловка"/>
    </sheetNames>
    <sheetDataSet>
      <sheetData sheetId="0"/>
      <sheetData sheetId="1"/>
      <sheetData sheetId="2"/>
      <sheetData sheetId="3">
        <row r="9">
          <cell r="B9">
            <v>1119.8000000000002</v>
          </cell>
        </row>
      </sheetData>
      <sheetData sheetId="4">
        <row r="9">
          <cell r="B9">
            <v>2263.9</v>
          </cell>
        </row>
      </sheetData>
      <sheetData sheetId="5">
        <row r="9">
          <cell r="B9">
            <v>1581.3000000000002</v>
          </cell>
        </row>
      </sheetData>
      <sheetData sheetId="6">
        <row r="9">
          <cell r="B9">
            <v>2459</v>
          </cell>
        </row>
      </sheetData>
      <sheetData sheetId="7">
        <row r="9">
          <cell r="B9">
            <v>1656.4</v>
          </cell>
        </row>
      </sheetData>
      <sheetData sheetId="8">
        <row r="9">
          <cell r="B9">
            <v>1364.5</v>
          </cell>
        </row>
      </sheetData>
      <sheetData sheetId="9">
        <row r="9">
          <cell r="B9">
            <v>21121.4</v>
          </cell>
        </row>
      </sheetData>
      <sheetData sheetId="10">
        <row r="9">
          <cell r="B9">
            <v>811.2</v>
          </cell>
        </row>
      </sheetData>
      <sheetData sheetId="11">
        <row r="9">
          <cell r="B9">
            <v>1029.4000000000001</v>
          </cell>
        </row>
      </sheetData>
      <sheetData sheetId="12">
        <row r="9">
          <cell r="B9">
            <v>2248.9</v>
          </cell>
        </row>
      </sheetData>
      <sheetData sheetId="13">
        <row r="9">
          <cell r="B9">
            <v>707.8</v>
          </cell>
        </row>
      </sheetData>
      <sheetData sheetId="14">
        <row r="9">
          <cell r="B9">
            <v>1433.3999999999999</v>
          </cell>
        </row>
      </sheetData>
      <sheetData sheetId="15">
        <row r="9">
          <cell r="B9">
            <v>1529.4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D107"/>
  <sheetViews>
    <sheetView tabSelected="1" view="pageBreakPreview" zoomScale="60" workbookViewId="0">
      <selection activeCell="C8" sqref="C8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21.85546875" style="4" customWidth="1"/>
    <col min="5" max="5" width="28.28515625" style="1" customWidth="1"/>
    <col min="6" max="256" width="9.140625" style="1"/>
    <col min="257" max="257" width="83.85546875" style="1" customWidth="1"/>
    <col min="258" max="258" width="16" style="1" customWidth="1"/>
    <col min="259" max="259" width="16.28515625" style="1" customWidth="1"/>
    <col min="260" max="260" width="16.5703125" style="1" customWidth="1"/>
    <col min="261" max="261" width="28.28515625" style="1" customWidth="1"/>
    <col min="262" max="512" width="9.140625" style="1"/>
    <col min="513" max="513" width="83.85546875" style="1" customWidth="1"/>
    <col min="514" max="514" width="16" style="1" customWidth="1"/>
    <col min="515" max="515" width="16.28515625" style="1" customWidth="1"/>
    <col min="516" max="516" width="16.5703125" style="1" customWidth="1"/>
    <col min="517" max="517" width="28.28515625" style="1" customWidth="1"/>
    <col min="518" max="768" width="9.140625" style="1"/>
    <col min="769" max="769" width="83.85546875" style="1" customWidth="1"/>
    <col min="770" max="770" width="16" style="1" customWidth="1"/>
    <col min="771" max="771" width="16.28515625" style="1" customWidth="1"/>
    <col min="772" max="772" width="16.5703125" style="1" customWidth="1"/>
    <col min="773" max="773" width="28.28515625" style="1" customWidth="1"/>
    <col min="774" max="1024" width="9.140625" style="1"/>
    <col min="1025" max="1025" width="83.85546875" style="1" customWidth="1"/>
    <col min="1026" max="1026" width="16" style="1" customWidth="1"/>
    <col min="1027" max="1027" width="16.28515625" style="1" customWidth="1"/>
    <col min="1028" max="1028" width="16.5703125" style="1" customWidth="1"/>
    <col min="1029" max="1029" width="28.28515625" style="1" customWidth="1"/>
    <col min="1030" max="1280" width="9.140625" style="1"/>
    <col min="1281" max="1281" width="83.85546875" style="1" customWidth="1"/>
    <col min="1282" max="1282" width="16" style="1" customWidth="1"/>
    <col min="1283" max="1283" width="16.28515625" style="1" customWidth="1"/>
    <col min="1284" max="1284" width="16.5703125" style="1" customWidth="1"/>
    <col min="1285" max="1285" width="28.28515625" style="1" customWidth="1"/>
    <col min="1286" max="1536" width="9.140625" style="1"/>
    <col min="1537" max="1537" width="83.85546875" style="1" customWidth="1"/>
    <col min="1538" max="1538" width="16" style="1" customWidth="1"/>
    <col min="1539" max="1539" width="16.28515625" style="1" customWidth="1"/>
    <col min="1540" max="1540" width="16.5703125" style="1" customWidth="1"/>
    <col min="1541" max="1541" width="28.28515625" style="1" customWidth="1"/>
    <col min="1542" max="1792" width="9.140625" style="1"/>
    <col min="1793" max="1793" width="83.85546875" style="1" customWidth="1"/>
    <col min="1794" max="1794" width="16" style="1" customWidth="1"/>
    <col min="1795" max="1795" width="16.28515625" style="1" customWidth="1"/>
    <col min="1796" max="1796" width="16.5703125" style="1" customWidth="1"/>
    <col min="1797" max="1797" width="28.28515625" style="1" customWidth="1"/>
    <col min="1798" max="2048" width="9.140625" style="1"/>
    <col min="2049" max="2049" width="83.85546875" style="1" customWidth="1"/>
    <col min="2050" max="2050" width="16" style="1" customWidth="1"/>
    <col min="2051" max="2051" width="16.28515625" style="1" customWidth="1"/>
    <col min="2052" max="2052" width="16.5703125" style="1" customWidth="1"/>
    <col min="2053" max="2053" width="28.28515625" style="1" customWidth="1"/>
    <col min="2054" max="2304" width="9.140625" style="1"/>
    <col min="2305" max="2305" width="83.85546875" style="1" customWidth="1"/>
    <col min="2306" max="2306" width="16" style="1" customWidth="1"/>
    <col min="2307" max="2307" width="16.28515625" style="1" customWidth="1"/>
    <col min="2308" max="2308" width="16.5703125" style="1" customWidth="1"/>
    <col min="2309" max="2309" width="28.28515625" style="1" customWidth="1"/>
    <col min="2310" max="2560" width="9.140625" style="1"/>
    <col min="2561" max="2561" width="83.85546875" style="1" customWidth="1"/>
    <col min="2562" max="2562" width="16" style="1" customWidth="1"/>
    <col min="2563" max="2563" width="16.28515625" style="1" customWidth="1"/>
    <col min="2564" max="2564" width="16.5703125" style="1" customWidth="1"/>
    <col min="2565" max="2565" width="28.28515625" style="1" customWidth="1"/>
    <col min="2566" max="2816" width="9.140625" style="1"/>
    <col min="2817" max="2817" width="83.85546875" style="1" customWidth="1"/>
    <col min="2818" max="2818" width="16" style="1" customWidth="1"/>
    <col min="2819" max="2819" width="16.28515625" style="1" customWidth="1"/>
    <col min="2820" max="2820" width="16.5703125" style="1" customWidth="1"/>
    <col min="2821" max="2821" width="28.28515625" style="1" customWidth="1"/>
    <col min="2822" max="3072" width="9.140625" style="1"/>
    <col min="3073" max="3073" width="83.85546875" style="1" customWidth="1"/>
    <col min="3074" max="3074" width="16" style="1" customWidth="1"/>
    <col min="3075" max="3075" width="16.28515625" style="1" customWidth="1"/>
    <col min="3076" max="3076" width="16.5703125" style="1" customWidth="1"/>
    <col min="3077" max="3077" width="28.28515625" style="1" customWidth="1"/>
    <col min="3078" max="3328" width="9.140625" style="1"/>
    <col min="3329" max="3329" width="83.85546875" style="1" customWidth="1"/>
    <col min="3330" max="3330" width="16" style="1" customWidth="1"/>
    <col min="3331" max="3331" width="16.28515625" style="1" customWidth="1"/>
    <col min="3332" max="3332" width="16.5703125" style="1" customWidth="1"/>
    <col min="3333" max="3333" width="28.28515625" style="1" customWidth="1"/>
    <col min="3334" max="3584" width="9.140625" style="1"/>
    <col min="3585" max="3585" width="83.85546875" style="1" customWidth="1"/>
    <col min="3586" max="3586" width="16" style="1" customWidth="1"/>
    <col min="3587" max="3587" width="16.28515625" style="1" customWidth="1"/>
    <col min="3588" max="3588" width="16.5703125" style="1" customWidth="1"/>
    <col min="3589" max="3589" width="28.28515625" style="1" customWidth="1"/>
    <col min="3590" max="3840" width="9.140625" style="1"/>
    <col min="3841" max="3841" width="83.85546875" style="1" customWidth="1"/>
    <col min="3842" max="3842" width="16" style="1" customWidth="1"/>
    <col min="3843" max="3843" width="16.28515625" style="1" customWidth="1"/>
    <col min="3844" max="3844" width="16.5703125" style="1" customWidth="1"/>
    <col min="3845" max="3845" width="28.28515625" style="1" customWidth="1"/>
    <col min="3846" max="4096" width="9.140625" style="1"/>
    <col min="4097" max="4097" width="83.85546875" style="1" customWidth="1"/>
    <col min="4098" max="4098" width="16" style="1" customWidth="1"/>
    <col min="4099" max="4099" width="16.28515625" style="1" customWidth="1"/>
    <col min="4100" max="4100" width="16.5703125" style="1" customWidth="1"/>
    <col min="4101" max="4101" width="28.28515625" style="1" customWidth="1"/>
    <col min="4102" max="4352" width="9.140625" style="1"/>
    <col min="4353" max="4353" width="83.85546875" style="1" customWidth="1"/>
    <col min="4354" max="4354" width="16" style="1" customWidth="1"/>
    <col min="4355" max="4355" width="16.28515625" style="1" customWidth="1"/>
    <col min="4356" max="4356" width="16.5703125" style="1" customWidth="1"/>
    <col min="4357" max="4357" width="28.28515625" style="1" customWidth="1"/>
    <col min="4358" max="4608" width="9.140625" style="1"/>
    <col min="4609" max="4609" width="83.85546875" style="1" customWidth="1"/>
    <col min="4610" max="4610" width="16" style="1" customWidth="1"/>
    <col min="4611" max="4611" width="16.28515625" style="1" customWidth="1"/>
    <col min="4612" max="4612" width="16.5703125" style="1" customWidth="1"/>
    <col min="4613" max="4613" width="28.28515625" style="1" customWidth="1"/>
    <col min="4614" max="4864" width="9.140625" style="1"/>
    <col min="4865" max="4865" width="83.85546875" style="1" customWidth="1"/>
    <col min="4866" max="4866" width="16" style="1" customWidth="1"/>
    <col min="4867" max="4867" width="16.28515625" style="1" customWidth="1"/>
    <col min="4868" max="4868" width="16.5703125" style="1" customWidth="1"/>
    <col min="4869" max="4869" width="28.28515625" style="1" customWidth="1"/>
    <col min="4870" max="5120" width="9.140625" style="1"/>
    <col min="5121" max="5121" width="83.85546875" style="1" customWidth="1"/>
    <col min="5122" max="5122" width="16" style="1" customWidth="1"/>
    <col min="5123" max="5123" width="16.28515625" style="1" customWidth="1"/>
    <col min="5124" max="5124" width="16.5703125" style="1" customWidth="1"/>
    <col min="5125" max="5125" width="28.28515625" style="1" customWidth="1"/>
    <col min="5126" max="5376" width="9.140625" style="1"/>
    <col min="5377" max="5377" width="83.85546875" style="1" customWidth="1"/>
    <col min="5378" max="5378" width="16" style="1" customWidth="1"/>
    <col min="5379" max="5379" width="16.28515625" style="1" customWidth="1"/>
    <col min="5380" max="5380" width="16.5703125" style="1" customWidth="1"/>
    <col min="5381" max="5381" width="28.28515625" style="1" customWidth="1"/>
    <col min="5382" max="5632" width="9.140625" style="1"/>
    <col min="5633" max="5633" width="83.85546875" style="1" customWidth="1"/>
    <col min="5634" max="5634" width="16" style="1" customWidth="1"/>
    <col min="5635" max="5635" width="16.28515625" style="1" customWidth="1"/>
    <col min="5636" max="5636" width="16.5703125" style="1" customWidth="1"/>
    <col min="5637" max="5637" width="28.28515625" style="1" customWidth="1"/>
    <col min="5638" max="5888" width="9.140625" style="1"/>
    <col min="5889" max="5889" width="83.85546875" style="1" customWidth="1"/>
    <col min="5890" max="5890" width="16" style="1" customWidth="1"/>
    <col min="5891" max="5891" width="16.28515625" style="1" customWidth="1"/>
    <col min="5892" max="5892" width="16.5703125" style="1" customWidth="1"/>
    <col min="5893" max="5893" width="28.28515625" style="1" customWidth="1"/>
    <col min="5894" max="6144" width="9.140625" style="1"/>
    <col min="6145" max="6145" width="83.85546875" style="1" customWidth="1"/>
    <col min="6146" max="6146" width="16" style="1" customWidth="1"/>
    <col min="6147" max="6147" width="16.28515625" style="1" customWidth="1"/>
    <col min="6148" max="6148" width="16.5703125" style="1" customWidth="1"/>
    <col min="6149" max="6149" width="28.28515625" style="1" customWidth="1"/>
    <col min="6150" max="6400" width="9.140625" style="1"/>
    <col min="6401" max="6401" width="83.85546875" style="1" customWidth="1"/>
    <col min="6402" max="6402" width="16" style="1" customWidth="1"/>
    <col min="6403" max="6403" width="16.28515625" style="1" customWidth="1"/>
    <col min="6404" max="6404" width="16.5703125" style="1" customWidth="1"/>
    <col min="6405" max="6405" width="28.28515625" style="1" customWidth="1"/>
    <col min="6406" max="6656" width="9.140625" style="1"/>
    <col min="6657" max="6657" width="83.85546875" style="1" customWidth="1"/>
    <col min="6658" max="6658" width="16" style="1" customWidth="1"/>
    <col min="6659" max="6659" width="16.28515625" style="1" customWidth="1"/>
    <col min="6660" max="6660" width="16.5703125" style="1" customWidth="1"/>
    <col min="6661" max="6661" width="28.28515625" style="1" customWidth="1"/>
    <col min="6662" max="6912" width="9.140625" style="1"/>
    <col min="6913" max="6913" width="83.85546875" style="1" customWidth="1"/>
    <col min="6914" max="6914" width="16" style="1" customWidth="1"/>
    <col min="6915" max="6915" width="16.28515625" style="1" customWidth="1"/>
    <col min="6916" max="6916" width="16.5703125" style="1" customWidth="1"/>
    <col min="6917" max="6917" width="28.28515625" style="1" customWidth="1"/>
    <col min="6918" max="7168" width="9.140625" style="1"/>
    <col min="7169" max="7169" width="83.85546875" style="1" customWidth="1"/>
    <col min="7170" max="7170" width="16" style="1" customWidth="1"/>
    <col min="7171" max="7171" width="16.28515625" style="1" customWidth="1"/>
    <col min="7172" max="7172" width="16.5703125" style="1" customWidth="1"/>
    <col min="7173" max="7173" width="28.28515625" style="1" customWidth="1"/>
    <col min="7174" max="7424" width="9.140625" style="1"/>
    <col min="7425" max="7425" width="83.85546875" style="1" customWidth="1"/>
    <col min="7426" max="7426" width="16" style="1" customWidth="1"/>
    <col min="7427" max="7427" width="16.28515625" style="1" customWidth="1"/>
    <col min="7428" max="7428" width="16.5703125" style="1" customWidth="1"/>
    <col min="7429" max="7429" width="28.28515625" style="1" customWidth="1"/>
    <col min="7430" max="7680" width="9.140625" style="1"/>
    <col min="7681" max="7681" width="83.85546875" style="1" customWidth="1"/>
    <col min="7682" max="7682" width="16" style="1" customWidth="1"/>
    <col min="7683" max="7683" width="16.28515625" style="1" customWidth="1"/>
    <col min="7684" max="7684" width="16.5703125" style="1" customWidth="1"/>
    <col min="7685" max="7685" width="28.28515625" style="1" customWidth="1"/>
    <col min="7686" max="7936" width="9.140625" style="1"/>
    <col min="7937" max="7937" width="83.85546875" style="1" customWidth="1"/>
    <col min="7938" max="7938" width="16" style="1" customWidth="1"/>
    <col min="7939" max="7939" width="16.28515625" style="1" customWidth="1"/>
    <col min="7940" max="7940" width="16.5703125" style="1" customWidth="1"/>
    <col min="7941" max="7941" width="28.28515625" style="1" customWidth="1"/>
    <col min="7942" max="8192" width="9.140625" style="1"/>
    <col min="8193" max="8193" width="83.85546875" style="1" customWidth="1"/>
    <col min="8194" max="8194" width="16" style="1" customWidth="1"/>
    <col min="8195" max="8195" width="16.28515625" style="1" customWidth="1"/>
    <col min="8196" max="8196" width="16.5703125" style="1" customWidth="1"/>
    <col min="8197" max="8197" width="28.28515625" style="1" customWidth="1"/>
    <col min="8198" max="8448" width="9.140625" style="1"/>
    <col min="8449" max="8449" width="83.85546875" style="1" customWidth="1"/>
    <col min="8450" max="8450" width="16" style="1" customWidth="1"/>
    <col min="8451" max="8451" width="16.28515625" style="1" customWidth="1"/>
    <col min="8452" max="8452" width="16.5703125" style="1" customWidth="1"/>
    <col min="8453" max="8453" width="28.28515625" style="1" customWidth="1"/>
    <col min="8454" max="8704" width="9.140625" style="1"/>
    <col min="8705" max="8705" width="83.85546875" style="1" customWidth="1"/>
    <col min="8706" max="8706" width="16" style="1" customWidth="1"/>
    <col min="8707" max="8707" width="16.28515625" style="1" customWidth="1"/>
    <col min="8708" max="8708" width="16.5703125" style="1" customWidth="1"/>
    <col min="8709" max="8709" width="28.28515625" style="1" customWidth="1"/>
    <col min="8710" max="8960" width="9.140625" style="1"/>
    <col min="8961" max="8961" width="83.85546875" style="1" customWidth="1"/>
    <col min="8962" max="8962" width="16" style="1" customWidth="1"/>
    <col min="8963" max="8963" width="16.28515625" style="1" customWidth="1"/>
    <col min="8964" max="8964" width="16.5703125" style="1" customWidth="1"/>
    <col min="8965" max="8965" width="28.28515625" style="1" customWidth="1"/>
    <col min="8966" max="9216" width="9.140625" style="1"/>
    <col min="9217" max="9217" width="83.85546875" style="1" customWidth="1"/>
    <col min="9218" max="9218" width="16" style="1" customWidth="1"/>
    <col min="9219" max="9219" width="16.28515625" style="1" customWidth="1"/>
    <col min="9220" max="9220" width="16.5703125" style="1" customWidth="1"/>
    <col min="9221" max="9221" width="28.28515625" style="1" customWidth="1"/>
    <col min="9222" max="9472" width="9.140625" style="1"/>
    <col min="9473" max="9473" width="83.85546875" style="1" customWidth="1"/>
    <col min="9474" max="9474" width="16" style="1" customWidth="1"/>
    <col min="9475" max="9475" width="16.28515625" style="1" customWidth="1"/>
    <col min="9476" max="9476" width="16.5703125" style="1" customWidth="1"/>
    <col min="9477" max="9477" width="28.28515625" style="1" customWidth="1"/>
    <col min="9478" max="9728" width="9.140625" style="1"/>
    <col min="9729" max="9729" width="83.85546875" style="1" customWidth="1"/>
    <col min="9730" max="9730" width="16" style="1" customWidth="1"/>
    <col min="9731" max="9731" width="16.28515625" style="1" customWidth="1"/>
    <col min="9732" max="9732" width="16.5703125" style="1" customWidth="1"/>
    <col min="9733" max="9733" width="28.28515625" style="1" customWidth="1"/>
    <col min="9734" max="9984" width="9.140625" style="1"/>
    <col min="9985" max="9985" width="83.85546875" style="1" customWidth="1"/>
    <col min="9986" max="9986" width="16" style="1" customWidth="1"/>
    <col min="9987" max="9987" width="16.28515625" style="1" customWidth="1"/>
    <col min="9988" max="9988" width="16.5703125" style="1" customWidth="1"/>
    <col min="9989" max="9989" width="28.28515625" style="1" customWidth="1"/>
    <col min="9990" max="10240" width="9.140625" style="1"/>
    <col min="10241" max="10241" width="83.85546875" style="1" customWidth="1"/>
    <col min="10242" max="10242" width="16" style="1" customWidth="1"/>
    <col min="10243" max="10243" width="16.28515625" style="1" customWidth="1"/>
    <col min="10244" max="10244" width="16.5703125" style="1" customWidth="1"/>
    <col min="10245" max="10245" width="28.28515625" style="1" customWidth="1"/>
    <col min="10246" max="10496" width="9.140625" style="1"/>
    <col min="10497" max="10497" width="83.85546875" style="1" customWidth="1"/>
    <col min="10498" max="10498" width="16" style="1" customWidth="1"/>
    <col min="10499" max="10499" width="16.28515625" style="1" customWidth="1"/>
    <col min="10500" max="10500" width="16.5703125" style="1" customWidth="1"/>
    <col min="10501" max="10501" width="28.28515625" style="1" customWidth="1"/>
    <col min="10502" max="10752" width="9.140625" style="1"/>
    <col min="10753" max="10753" width="83.85546875" style="1" customWidth="1"/>
    <col min="10754" max="10754" width="16" style="1" customWidth="1"/>
    <col min="10755" max="10755" width="16.28515625" style="1" customWidth="1"/>
    <col min="10756" max="10756" width="16.5703125" style="1" customWidth="1"/>
    <col min="10757" max="10757" width="28.28515625" style="1" customWidth="1"/>
    <col min="10758" max="11008" width="9.140625" style="1"/>
    <col min="11009" max="11009" width="83.85546875" style="1" customWidth="1"/>
    <col min="11010" max="11010" width="16" style="1" customWidth="1"/>
    <col min="11011" max="11011" width="16.28515625" style="1" customWidth="1"/>
    <col min="11012" max="11012" width="16.5703125" style="1" customWidth="1"/>
    <col min="11013" max="11013" width="28.28515625" style="1" customWidth="1"/>
    <col min="11014" max="11264" width="9.140625" style="1"/>
    <col min="11265" max="11265" width="83.85546875" style="1" customWidth="1"/>
    <col min="11266" max="11266" width="16" style="1" customWidth="1"/>
    <col min="11267" max="11267" width="16.28515625" style="1" customWidth="1"/>
    <col min="11268" max="11268" width="16.5703125" style="1" customWidth="1"/>
    <col min="11269" max="11269" width="28.28515625" style="1" customWidth="1"/>
    <col min="11270" max="11520" width="9.140625" style="1"/>
    <col min="11521" max="11521" width="83.85546875" style="1" customWidth="1"/>
    <col min="11522" max="11522" width="16" style="1" customWidth="1"/>
    <col min="11523" max="11523" width="16.28515625" style="1" customWidth="1"/>
    <col min="11524" max="11524" width="16.5703125" style="1" customWidth="1"/>
    <col min="11525" max="11525" width="28.28515625" style="1" customWidth="1"/>
    <col min="11526" max="11776" width="9.140625" style="1"/>
    <col min="11777" max="11777" width="83.85546875" style="1" customWidth="1"/>
    <col min="11778" max="11778" width="16" style="1" customWidth="1"/>
    <col min="11779" max="11779" width="16.28515625" style="1" customWidth="1"/>
    <col min="11780" max="11780" width="16.5703125" style="1" customWidth="1"/>
    <col min="11781" max="11781" width="28.28515625" style="1" customWidth="1"/>
    <col min="11782" max="12032" width="9.140625" style="1"/>
    <col min="12033" max="12033" width="83.85546875" style="1" customWidth="1"/>
    <col min="12034" max="12034" width="16" style="1" customWidth="1"/>
    <col min="12035" max="12035" width="16.28515625" style="1" customWidth="1"/>
    <col min="12036" max="12036" width="16.5703125" style="1" customWidth="1"/>
    <col min="12037" max="12037" width="28.28515625" style="1" customWidth="1"/>
    <col min="12038" max="12288" width="9.140625" style="1"/>
    <col min="12289" max="12289" width="83.85546875" style="1" customWidth="1"/>
    <col min="12290" max="12290" width="16" style="1" customWidth="1"/>
    <col min="12291" max="12291" width="16.28515625" style="1" customWidth="1"/>
    <col min="12292" max="12292" width="16.5703125" style="1" customWidth="1"/>
    <col min="12293" max="12293" width="28.28515625" style="1" customWidth="1"/>
    <col min="12294" max="12544" width="9.140625" style="1"/>
    <col min="12545" max="12545" width="83.85546875" style="1" customWidth="1"/>
    <col min="12546" max="12546" width="16" style="1" customWidth="1"/>
    <col min="12547" max="12547" width="16.28515625" style="1" customWidth="1"/>
    <col min="12548" max="12548" width="16.5703125" style="1" customWidth="1"/>
    <col min="12549" max="12549" width="28.28515625" style="1" customWidth="1"/>
    <col min="12550" max="12800" width="9.140625" style="1"/>
    <col min="12801" max="12801" width="83.85546875" style="1" customWidth="1"/>
    <col min="12802" max="12802" width="16" style="1" customWidth="1"/>
    <col min="12803" max="12803" width="16.28515625" style="1" customWidth="1"/>
    <col min="12804" max="12804" width="16.5703125" style="1" customWidth="1"/>
    <col min="12805" max="12805" width="28.28515625" style="1" customWidth="1"/>
    <col min="12806" max="13056" width="9.140625" style="1"/>
    <col min="13057" max="13057" width="83.85546875" style="1" customWidth="1"/>
    <col min="13058" max="13058" width="16" style="1" customWidth="1"/>
    <col min="13059" max="13059" width="16.28515625" style="1" customWidth="1"/>
    <col min="13060" max="13060" width="16.5703125" style="1" customWidth="1"/>
    <col min="13061" max="13061" width="28.28515625" style="1" customWidth="1"/>
    <col min="13062" max="13312" width="9.140625" style="1"/>
    <col min="13313" max="13313" width="83.85546875" style="1" customWidth="1"/>
    <col min="13314" max="13314" width="16" style="1" customWidth="1"/>
    <col min="13315" max="13315" width="16.28515625" style="1" customWidth="1"/>
    <col min="13316" max="13316" width="16.5703125" style="1" customWidth="1"/>
    <col min="13317" max="13317" width="28.28515625" style="1" customWidth="1"/>
    <col min="13318" max="13568" width="9.140625" style="1"/>
    <col min="13569" max="13569" width="83.85546875" style="1" customWidth="1"/>
    <col min="13570" max="13570" width="16" style="1" customWidth="1"/>
    <col min="13571" max="13571" width="16.28515625" style="1" customWidth="1"/>
    <col min="13572" max="13572" width="16.5703125" style="1" customWidth="1"/>
    <col min="13573" max="13573" width="28.28515625" style="1" customWidth="1"/>
    <col min="13574" max="13824" width="9.140625" style="1"/>
    <col min="13825" max="13825" width="83.85546875" style="1" customWidth="1"/>
    <col min="13826" max="13826" width="16" style="1" customWidth="1"/>
    <col min="13827" max="13827" width="16.28515625" style="1" customWidth="1"/>
    <col min="13828" max="13828" width="16.5703125" style="1" customWidth="1"/>
    <col min="13829" max="13829" width="28.28515625" style="1" customWidth="1"/>
    <col min="13830" max="14080" width="9.140625" style="1"/>
    <col min="14081" max="14081" width="83.85546875" style="1" customWidth="1"/>
    <col min="14082" max="14082" width="16" style="1" customWidth="1"/>
    <col min="14083" max="14083" width="16.28515625" style="1" customWidth="1"/>
    <col min="14084" max="14084" width="16.5703125" style="1" customWidth="1"/>
    <col min="14085" max="14085" width="28.28515625" style="1" customWidth="1"/>
    <col min="14086" max="14336" width="9.140625" style="1"/>
    <col min="14337" max="14337" width="83.85546875" style="1" customWidth="1"/>
    <col min="14338" max="14338" width="16" style="1" customWidth="1"/>
    <col min="14339" max="14339" width="16.28515625" style="1" customWidth="1"/>
    <col min="14340" max="14340" width="16.5703125" style="1" customWidth="1"/>
    <col min="14341" max="14341" width="28.28515625" style="1" customWidth="1"/>
    <col min="14342" max="14592" width="9.140625" style="1"/>
    <col min="14593" max="14593" width="83.85546875" style="1" customWidth="1"/>
    <col min="14594" max="14594" width="16" style="1" customWidth="1"/>
    <col min="14595" max="14595" width="16.28515625" style="1" customWidth="1"/>
    <col min="14596" max="14596" width="16.5703125" style="1" customWidth="1"/>
    <col min="14597" max="14597" width="28.28515625" style="1" customWidth="1"/>
    <col min="14598" max="14848" width="9.140625" style="1"/>
    <col min="14849" max="14849" width="83.85546875" style="1" customWidth="1"/>
    <col min="14850" max="14850" width="16" style="1" customWidth="1"/>
    <col min="14851" max="14851" width="16.28515625" style="1" customWidth="1"/>
    <col min="14852" max="14852" width="16.5703125" style="1" customWidth="1"/>
    <col min="14853" max="14853" width="28.28515625" style="1" customWidth="1"/>
    <col min="14854" max="15104" width="9.140625" style="1"/>
    <col min="15105" max="15105" width="83.85546875" style="1" customWidth="1"/>
    <col min="15106" max="15106" width="16" style="1" customWidth="1"/>
    <col min="15107" max="15107" width="16.28515625" style="1" customWidth="1"/>
    <col min="15108" max="15108" width="16.5703125" style="1" customWidth="1"/>
    <col min="15109" max="15109" width="28.28515625" style="1" customWidth="1"/>
    <col min="15110" max="15360" width="9.140625" style="1"/>
    <col min="15361" max="15361" width="83.85546875" style="1" customWidth="1"/>
    <col min="15362" max="15362" width="16" style="1" customWidth="1"/>
    <col min="15363" max="15363" width="16.28515625" style="1" customWidth="1"/>
    <col min="15364" max="15364" width="16.5703125" style="1" customWidth="1"/>
    <col min="15365" max="15365" width="28.28515625" style="1" customWidth="1"/>
    <col min="15366" max="15616" width="9.140625" style="1"/>
    <col min="15617" max="15617" width="83.85546875" style="1" customWidth="1"/>
    <col min="15618" max="15618" width="16" style="1" customWidth="1"/>
    <col min="15619" max="15619" width="16.28515625" style="1" customWidth="1"/>
    <col min="15620" max="15620" width="16.5703125" style="1" customWidth="1"/>
    <col min="15621" max="15621" width="28.28515625" style="1" customWidth="1"/>
    <col min="15622" max="15872" width="9.140625" style="1"/>
    <col min="15873" max="15873" width="83.85546875" style="1" customWidth="1"/>
    <col min="15874" max="15874" width="16" style="1" customWidth="1"/>
    <col min="15875" max="15875" width="16.28515625" style="1" customWidth="1"/>
    <col min="15876" max="15876" width="16.5703125" style="1" customWidth="1"/>
    <col min="15877" max="15877" width="28.28515625" style="1" customWidth="1"/>
    <col min="15878" max="16128" width="9.140625" style="1"/>
    <col min="16129" max="16129" width="83.85546875" style="1" customWidth="1"/>
    <col min="16130" max="16130" width="16" style="1" customWidth="1"/>
    <col min="16131" max="16131" width="16.28515625" style="1" customWidth="1"/>
    <col min="16132" max="16132" width="16.5703125" style="1" customWidth="1"/>
    <col min="16133" max="16133" width="28.28515625" style="1" customWidth="1"/>
    <col min="16134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>
      <c r="A4" s="193" t="s">
        <v>102</v>
      </c>
      <c r="B4" s="193"/>
      <c r="C4" s="193"/>
      <c r="D4" s="193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66.75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4">
      <c r="A8" s="3">
        <v>1</v>
      </c>
      <c r="B8" s="3">
        <v>2</v>
      </c>
      <c r="C8" s="3">
        <v>3</v>
      </c>
      <c r="D8" s="66">
        <v>4</v>
      </c>
    </row>
    <row r="9" spans="1:4" ht="25.5">
      <c r="A9" s="7" t="s">
        <v>68</v>
      </c>
      <c r="B9" s="25">
        <f>SUM(B10:B87)</f>
        <v>90721.419999999984</v>
      </c>
      <c r="C9" s="25">
        <f>SUM(C10:C87)</f>
        <v>76021.599999999991</v>
      </c>
      <c r="D9" s="25">
        <f>SUM(D10:D87)</f>
        <v>7595.7000000000007</v>
      </c>
    </row>
    <row r="10" spans="1:4">
      <c r="A10" s="7" t="s">
        <v>69</v>
      </c>
      <c r="B10" s="25"/>
      <c r="C10" s="25"/>
      <c r="D10" s="25"/>
    </row>
    <row r="11" spans="1:4">
      <c r="A11" s="9" t="s">
        <v>70</v>
      </c>
      <c r="B11" s="43">
        <f>район!B12+'Свод посел'!B11</f>
        <v>0</v>
      </c>
      <c r="C11" s="43">
        <f>район!C12+'Свод посел'!C11</f>
        <v>0</v>
      </c>
      <c r="D11" s="43">
        <f>район!D12+'Свод посел'!D11</f>
        <v>0</v>
      </c>
    </row>
    <row r="12" spans="1:4">
      <c r="A12" s="9" t="s">
        <v>27</v>
      </c>
      <c r="B12" s="43">
        <f>район!B13+'Свод посел'!B12</f>
        <v>0</v>
      </c>
      <c r="C12" s="43">
        <f>район!C13+'Свод посел'!C12</f>
        <v>0</v>
      </c>
      <c r="D12" s="43">
        <f>район!D13+'Свод посел'!D12</f>
        <v>0</v>
      </c>
    </row>
    <row r="13" spans="1:4">
      <c r="A13" s="9" t="s">
        <v>71</v>
      </c>
      <c r="B13" s="43">
        <f>район!B14+'Свод посел'!B13</f>
        <v>0</v>
      </c>
      <c r="C13" s="43">
        <f>район!C14+'Свод посел'!C13</f>
        <v>0</v>
      </c>
      <c r="D13" s="43">
        <f>район!D14+'Свод посел'!D13</f>
        <v>0</v>
      </c>
    </row>
    <row r="14" spans="1:4">
      <c r="A14" s="9" t="s">
        <v>5</v>
      </c>
      <c r="B14" s="43">
        <f>район!B15+'Свод посел'!B14</f>
        <v>1917</v>
      </c>
      <c r="C14" s="43">
        <f>район!C15+'Свод посел'!C14</f>
        <v>889.7</v>
      </c>
      <c r="D14" s="43">
        <f>район!D15+'Свод посел'!D14</f>
        <v>0</v>
      </c>
    </row>
    <row r="15" spans="1:4">
      <c r="A15" s="8" t="s">
        <v>72</v>
      </c>
      <c r="B15" s="9"/>
      <c r="C15" s="26"/>
      <c r="D15" s="26"/>
    </row>
    <row r="16" spans="1:4" s="6" customFormat="1" ht="18.75" customHeight="1">
      <c r="A16" s="9" t="s">
        <v>40</v>
      </c>
      <c r="B16" s="43">
        <f>район!B17+'Свод посел'!B16</f>
        <v>3847</v>
      </c>
      <c r="C16" s="43">
        <f>район!C17+'Свод посел'!C16</f>
        <v>4282.8999999999996</v>
      </c>
      <c r="D16" s="43">
        <f>район!D17+'Свод посел'!D16</f>
        <v>305.70000000000005</v>
      </c>
    </row>
    <row r="17" spans="1:4" s="6" customFormat="1">
      <c r="A17" s="9" t="s">
        <v>41</v>
      </c>
      <c r="B17" s="43">
        <f>район!B18+'Свод посел'!B17</f>
        <v>1087.7</v>
      </c>
      <c r="C17" s="43">
        <f>район!C18+'Свод посел'!C17</f>
        <v>2193.8000000000002</v>
      </c>
      <c r="D17" s="43">
        <f>район!D18+'Свод посел'!D17</f>
        <v>75.5</v>
      </c>
    </row>
    <row r="18" spans="1:4">
      <c r="A18" s="9" t="s">
        <v>6</v>
      </c>
      <c r="B18" s="43">
        <f>район!B19+'Свод посел'!B18</f>
        <v>5433.0999999999995</v>
      </c>
      <c r="C18" s="43">
        <f>район!C19+'Свод посел'!C18</f>
        <v>5258.4000000000005</v>
      </c>
      <c r="D18" s="43">
        <f>район!D19+'Свод посел'!D18</f>
        <v>714.5</v>
      </c>
    </row>
    <row r="19" spans="1:4">
      <c r="A19" s="9" t="s">
        <v>29</v>
      </c>
      <c r="B19" s="43">
        <f>район!B20+'Свод посел'!B19</f>
        <v>0</v>
      </c>
      <c r="C19" s="43">
        <f>район!C20+'Свод посел'!C19</f>
        <v>0</v>
      </c>
      <c r="D19" s="43">
        <f>район!D20+'Свод посел'!D19</f>
        <v>0</v>
      </c>
    </row>
    <row r="20" spans="1:4">
      <c r="A20" s="9" t="s">
        <v>15</v>
      </c>
      <c r="B20" s="43">
        <f>район!B21+'Свод посел'!B20</f>
        <v>0</v>
      </c>
      <c r="C20" s="43">
        <f>район!C21+'Свод посел'!C20</f>
        <v>0</v>
      </c>
      <c r="D20" s="43">
        <f>район!D21+'Свод посел'!D20</f>
        <v>0</v>
      </c>
    </row>
    <row r="21" spans="1:4" ht="31.5">
      <c r="A21" s="10" t="s">
        <v>7</v>
      </c>
      <c r="B21" s="43">
        <f>район!B22+'Свод посел'!B21</f>
        <v>1276.4000000000001</v>
      </c>
      <c r="C21" s="43">
        <f>район!C22+'Свод посел'!C21</f>
        <v>1406.1999999999998</v>
      </c>
      <c r="D21" s="43">
        <f>район!D22+'Свод посел'!D21</f>
        <v>64.8</v>
      </c>
    </row>
    <row r="22" spans="1:4">
      <c r="A22" s="10" t="s">
        <v>8</v>
      </c>
      <c r="B22" s="43">
        <f>район!B23+'Свод посел'!B22</f>
        <v>883.2</v>
      </c>
      <c r="C22" s="43">
        <f>район!C23+'Свод посел'!C22</f>
        <v>14</v>
      </c>
      <c r="D22" s="43">
        <f>район!D23+'Свод посел'!D22</f>
        <v>0.9</v>
      </c>
    </row>
    <row r="23" spans="1:4">
      <c r="A23" s="10" t="s">
        <v>73</v>
      </c>
      <c r="B23" s="43">
        <f>район!B24+'Свод посел'!B23</f>
        <v>636.90000000000009</v>
      </c>
      <c r="C23" s="43">
        <f>район!C24+'Свод посел'!C23</f>
        <v>966.89999999999986</v>
      </c>
      <c r="D23" s="43">
        <f>район!D24+'Свод посел'!D23</f>
        <v>51.800000000000004</v>
      </c>
    </row>
    <row r="24" spans="1:4">
      <c r="A24" s="10" t="s">
        <v>74</v>
      </c>
      <c r="B24" s="43">
        <f>район!B25+'Свод посел'!B24</f>
        <v>146.19999999999999</v>
      </c>
      <c r="C24" s="43">
        <f>район!C25+'Свод посел'!C24</f>
        <v>116.5</v>
      </c>
      <c r="D24" s="43">
        <f>район!D25+'Свод посел'!D24</f>
        <v>16.100000000000001</v>
      </c>
    </row>
    <row r="25" spans="1:4">
      <c r="A25" s="10" t="s">
        <v>4</v>
      </c>
      <c r="B25" s="43">
        <f>район!B26+'Свод посел'!B25</f>
        <v>6.5</v>
      </c>
      <c r="C25" s="43">
        <f>район!C26+'Свод посел'!C25</f>
        <v>9.5</v>
      </c>
      <c r="D25" s="43">
        <f>район!D26+'Свод посел'!D25</f>
        <v>1.3</v>
      </c>
    </row>
    <row r="26" spans="1:4">
      <c r="A26" s="10" t="s">
        <v>45</v>
      </c>
      <c r="B26" s="43">
        <f>район!B27+'Свод посел'!B26</f>
        <v>0</v>
      </c>
      <c r="C26" s="43">
        <f>район!C27+'Свод посел'!C26</f>
        <v>0</v>
      </c>
      <c r="D26" s="43">
        <f>район!D27+'Свод посел'!D26</f>
        <v>0</v>
      </c>
    </row>
    <row r="27" spans="1:4">
      <c r="A27" s="11" t="s">
        <v>3</v>
      </c>
      <c r="B27" s="43">
        <f>район!B28+'Свод посел'!B27</f>
        <v>1928.0999999999997</v>
      </c>
      <c r="C27" s="43">
        <f>район!C28+'Свод посел'!C27</f>
        <v>3270.1000000000004</v>
      </c>
      <c r="D27" s="43">
        <f>район!D28+'Свод посел'!D27</f>
        <v>725</v>
      </c>
    </row>
    <row r="28" spans="1:4">
      <c r="A28" s="28" t="s">
        <v>75</v>
      </c>
      <c r="B28" s="11"/>
      <c r="C28" s="26"/>
      <c r="D28" s="26"/>
    </row>
    <row r="29" spans="1:4" s="6" customFormat="1" ht="17.25" customHeight="1">
      <c r="A29" s="10" t="s">
        <v>40</v>
      </c>
      <c r="B29" s="43">
        <f>район!B30+'Свод посел'!B29</f>
        <v>598</v>
      </c>
      <c r="C29" s="43">
        <f>район!C30+'Свод посел'!C29</f>
        <v>113.9</v>
      </c>
      <c r="D29" s="43">
        <f>район!D30+'Свод посел'!D29</f>
        <v>7.1</v>
      </c>
    </row>
    <row r="30" spans="1:4" s="6" customFormat="1">
      <c r="A30" s="10" t="s">
        <v>41</v>
      </c>
      <c r="B30" s="43">
        <f>район!B31+'Свод посел'!B30</f>
        <v>5465.7</v>
      </c>
      <c r="C30" s="43">
        <f>район!C31+'Свод посел'!C30</f>
        <v>1585.8</v>
      </c>
      <c r="D30" s="43">
        <f>район!D31+'Свод посел'!D30</f>
        <v>513</v>
      </c>
    </row>
    <row r="31" spans="1:4">
      <c r="A31" s="10" t="s">
        <v>24</v>
      </c>
      <c r="B31" s="43">
        <f>район!B32+'Свод посел'!B31</f>
        <v>52.300000000000004</v>
      </c>
      <c r="C31" s="43">
        <f>район!C32+'Свод посел'!C31</f>
        <v>15</v>
      </c>
      <c r="D31" s="43">
        <f>район!D32+'Свод посел'!D31</f>
        <v>0</v>
      </c>
    </row>
    <row r="32" spans="1:4">
      <c r="A32" s="10" t="s">
        <v>9</v>
      </c>
      <c r="B32" s="43">
        <f>район!B33+'Свод посел'!B32</f>
        <v>5145.3999999999996</v>
      </c>
      <c r="C32" s="43">
        <f>район!C33+'Свод посел'!C32</f>
        <v>4702.3999999999996</v>
      </c>
      <c r="D32" s="43">
        <f>район!D33+'Свод посел'!D32</f>
        <v>520.30000000000007</v>
      </c>
    </row>
    <row r="33" spans="1:4">
      <c r="A33" s="10" t="s">
        <v>25</v>
      </c>
      <c r="B33" s="43">
        <f>район!B34+'Свод посел'!B33</f>
        <v>2898.8199999999997</v>
      </c>
      <c r="C33" s="43">
        <f>район!C34+'Свод посел'!C33</f>
        <v>4141.5000000000009</v>
      </c>
      <c r="D33" s="43">
        <f>район!D34+'Свод посел'!D33</f>
        <v>375.4</v>
      </c>
    </row>
    <row r="34" spans="1:4">
      <c r="A34" s="10" t="s">
        <v>10</v>
      </c>
      <c r="B34" s="43">
        <f>район!B35+'Свод посел'!B34</f>
        <v>541.5</v>
      </c>
      <c r="C34" s="43">
        <f>район!C35+'Свод посел'!C34</f>
        <v>611.70000000000005</v>
      </c>
      <c r="D34" s="43">
        <f>район!D35+'Свод посел'!D34</f>
        <v>20.7</v>
      </c>
    </row>
    <row r="35" spans="1:4">
      <c r="A35" s="10" t="s">
        <v>11</v>
      </c>
      <c r="B35" s="43">
        <f>район!B36+'Свод посел'!B35</f>
        <v>543</v>
      </c>
      <c r="C35" s="43">
        <f>район!C36+'Свод посел'!C35</f>
        <v>313.8</v>
      </c>
      <c r="D35" s="43">
        <f>район!D36+'Свод посел'!D35</f>
        <v>12</v>
      </c>
    </row>
    <row r="36" spans="1:4">
      <c r="A36" s="10" t="s">
        <v>12</v>
      </c>
      <c r="B36" s="43">
        <f>район!B37+'Свод посел'!B36</f>
        <v>861.7</v>
      </c>
      <c r="C36" s="43">
        <f>район!C37+'Свод посел'!C36</f>
        <v>427.3</v>
      </c>
      <c r="D36" s="43">
        <f>район!D37+'Свод посел'!D36</f>
        <v>0</v>
      </c>
    </row>
    <row r="37" spans="1:4">
      <c r="A37" s="10" t="s">
        <v>28</v>
      </c>
      <c r="B37" s="43">
        <f>район!B38+'Свод посел'!B37</f>
        <v>1662.4</v>
      </c>
      <c r="C37" s="43">
        <f>район!C38+'Свод посел'!C37</f>
        <v>1082.9000000000001</v>
      </c>
      <c r="D37" s="43">
        <f>район!D38+'Свод посел'!D37</f>
        <v>13.100000000000001</v>
      </c>
    </row>
    <row r="38" spans="1:4" ht="31.5">
      <c r="A38" s="10" t="s">
        <v>13</v>
      </c>
      <c r="B38" s="43">
        <f>район!B39+'Свод посел'!B38</f>
        <v>232.1</v>
      </c>
      <c r="C38" s="43">
        <f>район!C39+'Свод посел'!C38</f>
        <v>35</v>
      </c>
      <c r="D38" s="43">
        <f>район!D39+'Свод посел'!D38</f>
        <v>0</v>
      </c>
    </row>
    <row r="39" spans="1:4">
      <c r="A39" s="10" t="s">
        <v>14</v>
      </c>
      <c r="B39" s="43">
        <f>район!B40+'Свод посел'!B39</f>
        <v>3382.5</v>
      </c>
      <c r="C39" s="43">
        <f>район!C40+'Свод посел'!C39</f>
        <v>3339.1</v>
      </c>
      <c r="D39" s="43">
        <f>район!D40+'Свод посел'!D39</f>
        <v>273.7</v>
      </c>
    </row>
    <row r="40" spans="1:4">
      <c r="A40" s="10" t="s">
        <v>31</v>
      </c>
      <c r="B40" s="43">
        <f>район!B41+'Свод посел'!B40</f>
        <v>0</v>
      </c>
      <c r="C40" s="43">
        <f>район!C41+'Свод посел'!C40</f>
        <v>0</v>
      </c>
      <c r="D40" s="43">
        <f>район!D41+'Свод посел'!D40</f>
        <v>0</v>
      </c>
    </row>
    <row r="41" spans="1:4">
      <c r="A41" s="10" t="s">
        <v>76</v>
      </c>
      <c r="B41" s="43">
        <f>район!B42+'Свод посел'!B41</f>
        <v>74.899999999999991</v>
      </c>
      <c r="C41" s="43">
        <f>район!C42+'Свод посел'!C41</f>
        <v>6.5</v>
      </c>
      <c r="D41" s="43">
        <f>район!D42+'Свод посел'!D41</f>
        <v>0</v>
      </c>
    </row>
    <row r="42" spans="1:4">
      <c r="A42" s="10" t="s">
        <v>15</v>
      </c>
      <c r="B42" s="43">
        <f>район!B43+'Свод посел'!B42</f>
        <v>0</v>
      </c>
      <c r="C42" s="43">
        <f>район!C43+'Свод посел'!C42</f>
        <v>0</v>
      </c>
      <c r="D42" s="43">
        <f>район!D43+'Свод посел'!D42</f>
        <v>0</v>
      </c>
    </row>
    <row r="43" spans="1:4">
      <c r="A43" s="10" t="s">
        <v>16</v>
      </c>
      <c r="B43" s="43">
        <f>район!B44+'Свод посел'!B43</f>
        <v>0</v>
      </c>
      <c r="C43" s="43">
        <f>район!C44+'Свод посел'!C43</f>
        <v>0</v>
      </c>
      <c r="D43" s="43">
        <f>район!D44+'Свод посел'!D43</f>
        <v>0</v>
      </c>
    </row>
    <row r="44" spans="1:4">
      <c r="A44" s="10" t="s">
        <v>17</v>
      </c>
      <c r="B44" s="43">
        <f>район!B45+'Свод посел'!B44</f>
        <v>736.2</v>
      </c>
      <c r="C44" s="43">
        <f>район!C45+'Свод посел'!C44</f>
        <v>583.79999999999995</v>
      </c>
      <c r="D44" s="43">
        <f>район!D45+'Свод посел'!D44</f>
        <v>21</v>
      </c>
    </row>
    <row r="45" spans="1:4">
      <c r="A45" s="10" t="s">
        <v>77</v>
      </c>
      <c r="B45" s="43">
        <f>район!B46+'Свод посел'!B45</f>
        <v>0</v>
      </c>
      <c r="C45" s="43">
        <f>район!C46+'Свод посел'!C45</f>
        <v>0</v>
      </c>
      <c r="D45" s="43">
        <f>район!D46+'Свод посел'!D45</f>
        <v>0</v>
      </c>
    </row>
    <row r="46" spans="1:4">
      <c r="A46" s="10" t="s">
        <v>22</v>
      </c>
      <c r="B46" s="43">
        <f>район!B47+'Свод посел'!B46</f>
        <v>0</v>
      </c>
      <c r="C46" s="43">
        <f>район!C47+'Свод посел'!C46</f>
        <v>0</v>
      </c>
      <c r="D46" s="43">
        <f>район!D47+'Свод посел'!D46</f>
        <v>0</v>
      </c>
    </row>
    <row r="47" spans="1:4">
      <c r="A47" s="10" t="s">
        <v>19</v>
      </c>
      <c r="B47" s="43">
        <f>район!B48+'Свод посел'!B47</f>
        <v>680.5</v>
      </c>
      <c r="C47" s="43">
        <f>район!C48+'Свод посел'!C47</f>
        <v>670.9</v>
      </c>
      <c r="D47" s="43">
        <f>район!D48+'Свод посел'!D47</f>
        <v>139.4</v>
      </c>
    </row>
    <row r="48" spans="1:4">
      <c r="A48" s="10" t="s">
        <v>20</v>
      </c>
      <c r="B48" s="43">
        <f>район!B49+'Свод посел'!B48</f>
        <v>382.29999999999995</v>
      </c>
      <c r="C48" s="43">
        <f>район!C49+'Свод посел'!C48</f>
        <v>355</v>
      </c>
      <c r="D48" s="43">
        <f>район!D49+'Свод посел'!D48</f>
        <v>0</v>
      </c>
    </row>
    <row r="49" spans="1:4">
      <c r="A49" s="10" t="s">
        <v>23</v>
      </c>
      <c r="B49" s="43">
        <f>район!B50+'Свод посел'!B49</f>
        <v>289.8</v>
      </c>
      <c r="C49" s="43">
        <f>район!C50+'Свод посел'!C49</f>
        <v>101.6</v>
      </c>
      <c r="D49" s="43">
        <f>район!D50+'Свод посел'!D49</f>
        <v>0</v>
      </c>
    </row>
    <row r="50" spans="1:4">
      <c r="A50" s="10" t="s">
        <v>18</v>
      </c>
      <c r="B50" s="43">
        <f>район!B51+'Свод посел'!B50</f>
        <v>898</v>
      </c>
      <c r="C50" s="43">
        <f>район!C51+'Свод посел'!C50</f>
        <v>997.80000000000007</v>
      </c>
      <c r="D50" s="43">
        <f>район!D51+'Свод посел'!D50</f>
        <v>190.2</v>
      </c>
    </row>
    <row r="51" spans="1:4">
      <c r="A51" s="10" t="s">
        <v>38</v>
      </c>
      <c r="B51" s="43">
        <f>район!B52+'Свод посел'!B51</f>
        <v>0</v>
      </c>
      <c r="C51" s="43">
        <f>район!C52+'Свод посел'!C51</f>
        <v>0</v>
      </c>
      <c r="D51" s="43">
        <f>район!D52+'Свод посел'!D51</f>
        <v>0</v>
      </c>
    </row>
    <row r="52" spans="1:4" ht="31.5">
      <c r="A52" s="10" t="s">
        <v>32</v>
      </c>
      <c r="B52" s="43">
        <f>район!B53+'Свод посел'!B52</f>
        <v>0</v>
      </c>
      <c r="C52" s="43">
        <f>район!C53+'Свод посел'!C52</f>
        <v>0</v>
      </c>
      <c r="D52" s="43">
        <f>район!D53+'Свод посел'!D52</f>
        <v>0</v>
      </c>
    </row>
    <row r="53" spans="1:4">
      <c r="A53" s="10" t="s">
        <v>39</v>
      </c>
      <c r="B53" s="43">
        <f>район!B54+'Свод посел'!B53</f>
        <v>0</v>
      </c>
      <c r="C53" s="43">
        <f>район!C54+'Свод посел'!C53</f>
        <v>0</v>
      </c>
      <c r="D53" s="43">
        <f>район!D54+'Свод посел'!D53</f>
        <v>0</v>
      </c>
    </row>
    <row r="54" spans="1:4">
      <c r="A54" s="10" t="s">
        <v>33</v>
      </c>
      <c r="B54" s="43">
        <f>район!B55+'Свод посел'!B54</f>
        <v>0</v>
      </c>
      <c r="C54" s="43">
        <f>район!C55+'Свод посел'!C54</f>
        <v>0.3</v>
      </c>
      <c r="D54" s="43">
        <f>район!D55+'Свод посел'!D54</f>
        <v>0</v>
      </c>
    </row>
    <row r="55" spans="1:4">
      <c r="A55" s="10" t="s">
        <v>34</v>
      </c>
      <c r="B55" s="43">
        <f>район!B56+'Свод посел'!B55</f>
        <v>3.2</v>
      </c>
      <c r="C55" s="43">
        <f>район!C56+'Свод посел'!C55</f>
        <v>6.8</v>
      </c>
      <c r="D55" s="43">
        <f>район!D56+'Свод посел'!D55</f>
        <v>0</v>
      </c>
    </row>
    <row r="56" spans="1:4">
      <c r="A56" s="10" t="s">
        <v>37</v>
      </c>
      <c r="B56" s="43">
        <f>район!B57+'Свод посел'!B56</f>
        <v>0</v>
      </c>
      <c r="C56" s="43">
        <f>район!C57+'Свод посел'!C56</f>
        <v>0</v>
      </c>
      <c r="D56" s="43">
        <f>район!D57+'Свод посел'!D56</f>
        <v>0</v>
      </c>
    </row>
    <row r="57" spans="1:4" ht="31.5">
      <c r="A57" s="10" t="s">
        <v>35</v>
      </c>
      <c r="B57" s="43">
        <f>район!B58+'Свод посел'!B57</f>
        <v>0</v>
      </c>
      <c r="C57" s="43">
        <f>район!C58+'Свод посел'!C57</f>
        <v>0</v>
      </c>
      <c r="D57" s="43">
        <f>район!D58+'Свод посел'!D57</f>
        <v>0</v>
      </c>
    </row>
    <row r="58" spans="1:4">
      <c r="A58" s="10" t="s">
        <v>36</v>
      </c>
      <c r="B58" s="43">
        <f>район!B59+'Свод посел'!B58</f>
        <v>11.7</v>
      </c>
      <c r="C58" s="43">
        <f>район!C59+'Свод посел'!C58</f>
        <v>0</v>
      </c>
      <c r="D58" s="43">
        <f>район!D59+'Свод посел'!D58</f>
        <v>0</v>
      </c>
    </row>
    <row r="59" spans="1:4">
      <c r="A59" s="10" t="s">
        <v>30</v>
      </c>
      <c r="B59" s="43">
        <f>район!B60+'Свод посел'!B59</f>
        <v>331.6</v>
      </c>
      <c r="C59" s="43">
        <f>район!C60+'Свод посел'!C59</f>
        <v>276.5</v>
      </c>
      <c r="D59" s="43">
        <f>район!D60+'Свод посел'!D59</f>
        <v>36.4</v>
      </c>
    </row>
    <row r="60" spans="1:4">
      <c r="A60" s="10" t="s">
        <v>78</v>
      </c>
      <c r="B60" s="43">
        <f>район!B61+'Свод посел'!B60</f>
        <v>1880.3</v>
      </c>
      <c r="C60" s="43">
        <f>район!C61+'Свод посел'!C60</f>
        <v>5059.8999999999996</v>
      </c>
      <c r="D60" s="43">
        <f>район!D61+'Свод посел'!D60</f>
        <v>356.6</v>
      </c>
    </row>
    <row r="61" spans="1:4">
      <c r="A61" s="10" t="s">
        <v>21</v>
      </c>
      <c r="B61" s="43">
        <f>район!B62+'Свод посел'!B61</f>
        <v>18356.7</v>
      </c>
      <c r="C61" s="43">
        <f>район!C62+'Свод посел'!C61</f>
        <v>17174.999999999996</v>
      </c>
      <c r="D61" s="43">
        <f>район!D62+'Свод посел'!D61</f>
        <v>1289.8999999999999</v>
      </c>
    </row>
    <row r="62" spans="1:4">
      <c r="A62" s="29" t="s">
        <v>79</v>
      </c>
      <c r="B62" s="10"/>
      <c r="C62" s="26"/>
      <c r="D62" s="26"/>
    </row>
    <row r="63" spans="1:4" s="30" customFormat="1">
      <c r="A63" s="10" t="s">
        <v>80</v>
      </c>
      <c r="B63" s="43">
        <f>район!B64+'Свод посел'!B63</f>
        <v>19.100000000000001</v>
      </c>
      <c r="C63" s="43">
        <f>район!C64+'Свод посел'!C63</f>
        <v>60.1</v>
      </c>
      <c r="D63" s="43">
        <f>район!D64+'Свод посел'!D63</f>
        <v>0.6</v>
      </c>
    </row>
    <row r="64" spans="1:4">
      <c r="A64" s="10" t="s">
        <v>81</v>
      </c>
      <c r="B64" s="43">
        <f>район!B65+'Свод посел'!B64</f>
        <v>1621.5</v>
      </c>
      <c r="C64" s="43">
        <f>район!C65+'Свод посел'!C64</f>
        <v>1760.3</v>
      </c>
      <c r="D64" s="43">
        <f>район!D65+'Свод посел'!D64</f>
        <v>37.5</v>
      </c>
    </row>
    <row r="65" spans="1:4">
      <c r="A65" s="10" t="s">
        <v>15</v>
      </c>
      <c r="B65" s="43">
        <f>район!B66+'Свод посел'!B65</f>
        <v>0</v>
      </c>
      <c r="C65" s="43">
        <f>район!C66+'Свод посел'!C65</f>
        <v>0</v>
      </c>
      <c r="D65" s="43">
        <f>район!D66+'Свод посел'!D65</f>
        <v>0</v>
      </c>
    </row>
    <row r="66" spans="1:4">
      <c r="A66" s="10" t="s">
        <v>82</v>
      </c>
      <c r="B66" s="43">
        <f>район!B67+'Свод посел'!B66</f>
        <v>652</v>
      </c>
      <c r="C66" s="43">
        <f>район!C67+'Свод посел'!C66</f>
        <v>652.5</v>
      </c>
      <c r="D66" s="43">
        <f>район!D67+'Свод посел'!D66</f>
        <v>280</v>
      </c>
    </row>
    <row r="67" spans="1:4">
      <c r="A67" s="10" t="s">
        <v>83</v>
      </c>
      <c r="B67" s="43">
        <f>район!B68+'Свод посел'!B67</f>
        <v>0</v>
      </c>
      <c r="C67" s="43">
        <f>район!C68+'Свод посел'!C67</f>
        <v>0</v>
      </c>
      <c r="D67" s="43">
        <f>район!D68+'Свод посел'!D67</f>
        <v>0</v>
      </c>
    </row>
    <row r="68" spans="1:4">
      <c r="A68" s="10" t="s">
        <v>84</v>
      </c>
      <c r="B68" s="43">
        <f>район!B69+'Свод посел'!B68</f>
        <v>2056</v>
      </c>
      <c r="C68" s="43">
        <f>район!C69+'Свод посел'!C68</f>
        <v>232.3</v>
      </c>
      <c r="D68" s="43">
        <f>район!D69+'Свод посел'!D68</f>
        <v>185.9</v>
      </c>
    </row>
    <row r="69" spans="1:4">
      <c r="A69" s="10" t="s">
        <v>85</v>
      </c>
      <c r="B69" s="43">
        <f>район!B70+'Свод посел'!B69</f>
        <v>0</v>
      </c>
      <c r="C69" s="43">
        <f>район!C70+'Свод посел'!C69</f>
        <v>0</v>
      </c>
      <c r="D69" s="43">
        <f>район!D70+'Свод посел'!D69</f>
        <v>0</v>
      </c>
    </row>
    <row r="70" spans="1:4">
      <c r="A70" s="10" t="s">
        <v>86</v>
      </c>
      <c r="B70" s="43">
        <f>район!B71+'Свод посел'!B70</f>
        <v>856.90000000000009</v>
      </c>
      <c r="C70" s="43">
        <f>район!C71+'Свод посел'!C70</f>
        <v>92</v>
      </c>
      <c r="D70" s="43">
        <f>район!D71+'Свод посел'!D70</f>
        <v>0</v>
      </c>
    </row>
    <row r="71" spans="1:4">
      <c r="A71" s="29" t="s">
        <v>87</v>
      </c>
      <c r="B71" s="10"/>
      <c r="C71" s="26"/>
      <c r="D71" s="26"/>
    </row>
    <row r="72" spans="1:4" ht="31.5">
      <c r="A72" s="10" t="s">
        <v>88</v>
      </c>
      <c r="B72" s="43">
        <f>район!B73+'Свод посел'!B72</f>
        <v>0</v>
      </c>
      <c r="C72" s="43">
        <f>район!C73+'Свод посел'!C72</f>
        <v>0</v>
      </c>
      <c r="D72" s="43">
        <f>район!D73+'Свод посел'!D72</f>
        <v>0</v>
      </c>
    </row>
    <row r="73" spans="1:4">
      <c r="A73" s="10" t="s">
        <v>89</v>
      </c>
      <c r="B73" s="43">
        <f>район!B74+'Свод посел'!B73</f>
        <v>0</v>
      </c>
      <c r="C73" s="43">
        <f>район!C74+'Свод посел'!C73</f>
        <v>0</v>
      </c>
      <c r="D73" s="43">
        <f>район!D74+'Свод посел'!D73</f>
        <v>0</v>
      </c>
    </row>
    <row r="74" spans="1:4">
      <c r="A74" s="10" t="s">
        <v>90</v>
      </c>
      <c r="B74" s="43">
        <f>район!B75+'Свод посел'!B74</f>
        <v>0</v>
      </c>
      <c r="C74" s="43">
        <f>район!C75+'Свод посел'!C74</f>
        <v>0</v>
      </c>
      <c r="D74" s="43">
        <f>район!D75+'Свод посел'!D74</f>
        <v>0</v>
      </c>
    </row>
    <row r="75" spans="1:4">
      <c r="A75" s="29" t="s">
        <v>91</v>
      </c>
      <c r="B75" s="10"/>
      <c r="C75" s="26"/>
      <c r="D75" s="26"/>
    </row>
    <row r="76" spans="1:4">
      <c r="A76" s="9" t="s">
        <v>92</v>
      </c>
      <c r="B76" s="43">
        <f>район!B77+'Свод посел'!B76</f>
        <v>1855.7</v>
      </c>
      <c r="C76" s="43">
        <f>район!C77+'Свод посел'!C76</f>
        <v>544.70000000000005</v>
      </c>
      <c r="D76" s="43">
        <f>район!D77+'Свод посел'!D76</f>
        <v>102.5</v>
      </c>
    </row>
    <row r="77" spans="1:4">
      <c r="A77" s="9" t="s">
        <v>0</v>
      </c>
      <c r="B77" s="43">
        <f>район!B78+'Свод посел'!B77</f>
        <v>2319.5</v>
      </c>
      <c r="C77" s="43">
        <f>район!C78+'Свод посел'!C77</f>
        <v>1104.1999999999998</v>
      </c>
      <c r="D77" s="43">
        <f>район!D78+'Свод посел'!D77</f>
        <v>129.30000000000001</v>
      </c>
    </row>
    <row r="78" spans="1:4">
      <c r="A78" s="9" t="s">
        <v>1</v>
      </c>
      <c r="B78" s="43">
        <f>район!B79+'Свод посел'!B78</f>
        <v>2148.6999999999998</v>
      </c>
      <c r="C78" s="43">
        <f>район!C79+'Свод посел'!C78</f>
        <v>2031.6000000000004</v>
      </c>
      <c r="D78" s="43">
        <f>район!D79+'Свод посел'!D78</f>
        <v>271.5</v>
      </c>
    </row>
    <row r="79" spans="1:4">
      <c r="A79" s="9" t="s">
        <v>93</v>
      </c>
      <c r="B79" s="43">
        <f>район!B80+'Свод посел'!B79</f>
        <v>414.8</v>
      </c>
      <c r="C79" s="43">
        <f>район!C80+'Свод посел'!C79</f>
        <v>313.40000000000003</v>
      </c>
      <c r="D79" s="43">
        <f>район!D80+'Свод посел'!D79</f>
        <v>5.5</v>
      </c>
    </row>
    <row r="80" spans="1:4">
      <c r="A80" s="9" t="s">
        <v>26</v>
      </c>
      <c r="B80" s="43">
        <f>район!B81+'Свод посел'!B80</f>
        <v>3.3</v>
      </c>
      <c r="C80" s="43">
        <f>район!C81+'Свод посел'!C80</f>
        <v>0</v>
      </c>
      <c r="D80" s="43">
        <f>район!D81+'Свод посел'!D80</f>
        <v>0</v>
      </c>
    </row>
    <row r="81" spans="1:4">
      <c r="A81" s="9" t="s">
        <v>2</v>
      </c>
      <c r="B81" s="43">
        <f>район!B82+'Свод посел'!B81</f>
        <v>3968.4</v>
      </c>
      <c r="C81" s="43">
        <f>район!C82+'Свод посел'!C81</f>
        <v>5201.9000000000005</v>
      </c>
      <c r="D81" s="43">
        <f>район!D82+'Свод посел'!D81</f>
        <v>203.09999999999997</v>
      </c>
    </row>
    <row r="82" spans="1:4">
      <c r="A82" s="9" t="s">
        <v>94</v>
      </c>
      <c r="B82" s="43">
        <f>район!B83+'Свод посел'!B82</f>
        <v>561.9</v>
      </c>
      <c r="C82" s="43">
        <f>район!C83+'Свод посел'!C82</f>
        <v>659.90000000000009</v>
      </c>
      <c r="D82" s="43">
        <f>район!D83+'Свод посел'!D82</f>
        <v>9.2999999999999989</v>
      </c>
    </row>
    <row r="83" spans="1:4">
      <c r="A83" s="9" t="s">
        <v>95</v>
      </c>
      <c r="B83" s="43">
        <f>район!B84+'Свод посел'!B83</f>
        <v>3820.8</v>
      </c>
      <c r="C83" s="43">
        <f>район!C84+'Свод посел'!C83</f>
        <v>3297.7</v>
      </c>
      <c r="D83" s="43">
        <f>район!D84+'Свод посел'!D83</f>
        <v>646.09999999999991</v>
      </c>
    </row>
    <row r="84" spans="1:4">
      <c r="A84" s="8" t="s">
        <v>96</v>
      </c>
      <c r="B84" s="9"/>
      <c r="C84" s="31"/>
      <c r="D84" s="26"/>
    </row>
    <row r="85" spans="1:4" ht="31.5">
      <c r="A85" s="10" t="s">
        <v>97</v>
      </c>
      <c r="B85" s="43">
        <f>район!B86+'Свод посел'!B85</f>
        <v>0</v>
      </c>
      <c r="C85" s="43">
        <f>район!C86+'Свод посел'!C85</f>
        <v>0</v>
      </c>
      <c r="D85" s="43">
        <f>район!D86+'Свод посел'!D85</f>
        <v>0</v>
      </c>
    </row>
    <row r="86" spans="1:4">
      <c r="A86" s="10" t="s">
        <v>98</v>
      </c>
      <c r="B86" s="43">
        <f>район!B87+'Свод посел'!B86</f>
        <v>6587.7</v>
      </c>
      <c r="C86" s="43">
        <f>район!C87+'Свод посел'!C86</f>
        <v>60.5</v>
      </c>
      <c r="D86" s="43">
        <f>район!D87+'Свод посел'!D86</f>
        <v>0</v>
      </c>
    </row>
    <row r="87" spans="1:4">
      <c r="A87" s="10" t="s">
        <v>99</v>
      </c>
      <c r="B87" s="43">
        <f>район!B88+'Свод посел'!B87</f>
        <v>1644.4</v>
      </c>
      <c r="C87" s="43">
        <f>район!C88+'Свод посел'!C87</f>
        <v>0</v>
      </c>
      <c r="D87" s="43">
        <f>район!D88+'Свод посел'!D87</f>
        <v>0</v>
      </c>
    </row>
    <row r="88" spans="1:4">
      <c r="A88" s="69"/>
      <c r="B88" s="70"/>
      <c r="C88" s="70"/>
      <c r="D88" s="70"/>
    </row>
    <row r="89" spans="1:4">
      <c r="A89" s="1" t="s">
        <v>47</v>
      </c>
      <c r="B89" s="1" t="s">
        <v>104</v>
      </c>
    </row>
    <row r="91" spans="1:4">
      <c r="A91" s="1" t="s">
        <v>103</v>
      </c>
      <c r="B91" s="1" t="s">
        <v>106</v>
      </c>
    </row>
    <row r="93" spans="1:4">
      <c r="A93" s="1" t="s">
        <v>46</v>
      </c>
      <c r="B93" s="1" t="s">
        <v>105</v>
      </c>
    </row>
    <row r="94" spans="1:4">
      <c r="B94" s="17"/>
    </row>
    <row r="95" spans="1:4">
      <c r="A95" s="72" t="s">
        <v>107</v>
      </c>
      <c r="B95" s="71"/>
      <c r="C95" s="71"/>
      <c r="D95" s="71"/>
    </row>
    <row r="96" spans="1:4">
      <c r="A96" s="72" t="s">
        <v>108</v>
      </c>
      <c r="B96" s="71"/>
      <c r="C96" s="71"/>
      <c r="D96" s="71"/>
    </row>
    <row r="97" spans="1:4">
      <c r="A97" s="72"/>
      <c r="B97" s="71"/>
      <c r="C97" s="71"/>
      <c r="D97" s="71"/>
    </row>
    <row r="98" spans="1:4" ht="27.75" customHeight="1">
      <c r="A98" s="195" t="s">
        <v>100</v>
      </c>
      <c r="B98" s="195"/>
      <c r="C98" s="195"/>
      <c r="D98" s="195"/>
    </row>
    <row r="99" spans="1:4" ht="60.75" customHeight="1">
      <c r="A99" s="189" t="s">
        <v>101</v>
      </c>
      <c r="B99" s="189"/>
      <c r="C99" s="189"/>
      <c r="D99" s="189"/>
    </row>
    <row r="100" spans="1:4">
      <c r="A100" s="32"/>
      <c r="B100" s="32"/>
    </row>
    <row r="101" spans="1:4">
      <c r="B101" s="17"/>
    </row>
    <row r="102" spans="1:4">
      <c r="B102" s="17"/>
    </row>
    <row r="103" spans="1:4">
      <c r="B103" s="17"/>
    </row>
    <row r="104" spans="1:4">
      <c r="B104" s="17"/>
    </row>
    <row r="105" spans="1:4">
      <c r="B105" s="17"/>
    </row>
    <row r="106" spans="1:4">
      <c r="B106" s="17"/>
    </row>
    <row r="107" spans="1:4">
      <c r="B107" s="17"/>
    </row>
  </sheetData>
  <mergeCells count="6">
    <mergeCell ref="A99:D99"/>
    <mergeCell ref="A2:D2"/>
    <mergeCell ref="A3:D3"/>
    <mergeCell ref="A4:D4"/>
    <mergeCell ref="A5:D5"/>
    <mergeCell ref="A98:D98"/>
  </mergeCells>
  <pageMargins left="0.7" right="0.7" top="0.75" bottom="0.75" header="0.3" footer="0.3"/>
  <pageSetup paperSize="9" scale="6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tabColor rgb="FFFFFF00"/>
  </sheetPr>
  <dimension ref="A1:E199"/>
  <sheetViews>
    <sheetView topLeftCell="A25" workbookViewId="0">
      <selection activeCell="D40" sqref="D40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8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5">
      <c r="C1" s="22"/>
      <c r="D1" s="83" t="s">
        <v>53</v>
      </c>
    </row>
    <row r="2" spans="1:5" ht="18.75">
      <c r="A2" s="190" t="s">
        <v>43</v>
      </c>
      <c r="B2" s="190"/>
      <c r="C2" s="191"/>
      <c r="D2" s="191"/>
    </row>
    <row r="3" spans="1:5">
      <c r="A3" s="192" t="s">
        <v>44</v>
      </c>
      <c r="B3" s="192"/>
      <c r="C3" s="192"/>
      <c r="D3" s="192"/>
    </row>
    <row r="4" spans="1:5" ht="15.75" customHeight="1">
      <c r="A4" s="191" t="s">
        <v>65</v>
      </c>
      <c r="B4" s="191"/>
      <c r="C4" s="191"/>
      <c r="D4" s="191"/>
    </row>
    <row r="5" spans="1:5">
      <c r="A5" s="194" t="s">
        <v>42</v>
      </c>
      <c r="B5" s="194"/>
      <c r="C5" s="194"/>
      <c r="D5" s="194"/>
    </row>
    <row r="6" spans="1:5">
      <c r="A6" s="2"/>
      <c r="B6" s="2"/>
      <c r="D6" s="83" t="s">
        <v>66</v>
      </c>
    </row>
    <row r="7" spans="1:5" ht="90" customHeight="1">
      <c r="A7" s="23" t="s">
        <v>67</v>
      </c>
      <c r="B7" s="23" t="s">
        <v>112</v>
      </c>
      <c r="C7" s="96" t="s">
        <v>117</v>
      </c>
      <c r="D7" s="97" t="s">
        <v>118</v>
      </c>
    </row>
    <row r="8" spans="1:5" ht="19.5" customHeight="1">
      <c r="A8" s="3">
        <v>1</v>
      </c>
      <c r="B8" s="3">
        <v>2</v>
      </c>
      <c r="C8" s="20">
        <v>3</v>
      </c>
      <c r="D8" s="21">
        <v>4</v>
      </c>
    </row>
    <row r="9" spans="1:5" ht="25.5">
      <c r="A9" s="7" t="s">
        <v>68</v>
      </c>
      <c r="B9" s="126">
        <f>B10+B15+B28+B62+B75</f>
        <v>25697.700000000008</v>
      </c>
      <c r="C9" s="45">
        <f>C10+C15+C28+C62+C75</f>
        <v>36097.899999999994</v>
      </c>
      <c r="D9" s="126">
        <f>D10+D15+D28+D62+D75</f>
        <v>2012.9</v>
      </c>
      <c r="E9" s="78">
        <f>D10+D15+D28+D62+D75</f>
        <v>2012.9</v>
      </c>
    </row>
    <row r="10" spans="1:5">
      <c r="A10" s="7" t="s">
        <v>69</v>
      </c>
      <c r="B10" s="127">
        <f>B14</f>
        <v>1431.4</v>
      </c>
      <c r="C10" s="73">
        <f>C14</f>
        <v>500</v>
      </c>
      <c r="D10" s="127">
        <f>D14</f>
        <v>0</v>
      </c>
    </row>
    <row r="11" spans="1:5">
      <c r="A11" s="9" t="s">
        <v>70</v>
      </c>
      <c r="B11" s="128"/>
      <c r="C11" s="46"/>
      <c r="D11" s="128"/>
    </row>
    <row r="12" spans="1:5">
      <c r="A12" s="9" t="s">
        <v>27</v>
      </c>
      <c r="B12" s="128"/>
      <c r="C12" s="46"/>
      <c r="D12" s="128"/>
    </row>
    <row r="13" spans="1:5">
      <c r="A13" s="9" t="s">
        <v>71</v>
      </c>
      <c r="B13" s="128"/>
      <c r="C13" s="46"/>
      <c r="D13" s="128"/>
    </row>
    <row r="14" spans="1:5">
      <c r="A14" s="9" t="s">
        <v>5</v>
      </c>
      <c r="B14" s="129">
        <v>1431.4</v>
      </c>
      <c r="C14" s="46">
        <f>500</f>
        <v>500</v>
      </c>
      <c r="D14" s="129"/>
    </row>
    <row r="15" spans="1:5">
      <c r="A15" s="8" t="s">
        <v>72</v>
      </c>
      <c r="B15" s="130">
        <f>B16+B18+B23+B24+B27+B17</f>
        <v>723.7</v>
      </c>
      <c r="C15" s="74">
        <f>C16+C17+C18+C19+C21+C22+C23+C24+C27</f>
        <v>3755.7000000000003</v>
      </c>
      <c r="D15" s="130">
        <f>D16+D18+D23+D24+D27+D17</f>
        <v>241.10000000000002</v>
      </c>
    </row>
    <row r="16" spans="1:5" s="6" customFormat="1" ht="31.5">
      <c r="A16" s="9" t="s">
        <v>40</v>
      </c>
      <c r="B16" s="129">
        <v>16.5</v>
      </c>
      <c r="C16" s="46">
        <f>684.7+25.7</f>
        <v>710.40000000000009</v>
      </c>
      <c r="D16" s="129"/>
    </row>
    <row r="17" spans="1:4" s="6" customFormat="1">
      <c r="A17" s="9" t="s">
        <v>41</v>
      </c>
      <c r="B17" s="129">
        <v>387.5</v>
      </c>
      <c r="C17" s="46">
        <v>1385.7</v>
      </c>
      <c r="D17" s="81">
        <v>75</v>
      </c>
    </row>
    <row r="18" spans="1:4" ht="18.75" customHeight="1">
      <c r="A18" s="9" t="s">
        <v>6</v>
      </c>
      <c r="B18" s="129"/>
      <c r="C18" s="46"/>
      <c r="D18" s="81"/>
    </row>
    <row r="19" spans="1:4">
      <c r="A19" s="9" t="s">
        <v>29</v>
      </c>
      <c r="B19" s="129"/>
      <c r="C19" s="46"/>
      <c r="D19" s="81"/>
    </row>
    <row r="20" spans="1:4">
      <c r="A20" s="9" t="s">
        <v>15</v>
      </c>
      <c r="B20" s="129"/>
      <c r="C20" s="46"/>
      <c r="D20" s="81"/>
    </row>
    <row r="21" spans="1:4" ht="31.5">
      <c r="A21" s="10" t="s">
        <v>7</v>
      </c>
      <c r="B21" s="129"/>
      <c r="C21" s="46"/>
      <c r="D21" s="81"/>
    </row>
    <row r="22" spans="1:4">
      <c r="A22" s="10" t="s">
        <v>8</v>
      </c>
      <c r="B22" s="129"/>
      <c r="C22" s="46"/>
      <c r="D22" s="81"/>
    </row>
    <row r="23" spans="1:4">
      <c r="A23" s="10" t="s">
        <v>73</v>
      </c>
      <c r="B23" s="129">
        <v>117.1</v>
      </c>
      <c r="C23" s="46">
        <f>95.8+92.9+9+6.4</f>
        <v>204.1</v>
      </c>
      <c r="D23" s="81">
        <v>0.8</v>
      </c>
    </row>
    <row r="24" spans="1:4">
      <c r="A24" s="10" t="s">
        <v>74</v>
      </c>
      <c r="B24" s="129"/>
      <c r="C24" s="82"/>
      <c r="D24" s="81"/>
    </row>
    <row r="25" spans="1:4">
      <c r="A25" s="10" t="s">
        <v>4</v>
      </c>
      <c r="B25" s="129"/>
      <c r="C25" s="46"/>
      <c r="D25" s="81"/>
    </row>
    <row r="26" spans="1:4">
      <c r="A26" s="10" t="s">
        <v>45</v>
      </c>
      <c r="B26" s="129"/>
      <c r="C26" s="46"/>
      <c r="D26" s="81"/>
    </row>
    <row r="27" spans="1:4">
      <c r="A27" s="11" t="s">
        <v>3</v>
      </c>
      <c r="B27" s="129">
        <v>202.6</v>
      </c>
      <c r="C27" s="46">
        <f>180.8+1274.7</f>
        <v>1455.5</v>
      </c>
      <c r="D27" s="81">
        <v>165.3</v>
      </c>
    </row>
    <row r="28" spans="1:4">
      <c r="A28" s="28" t="s">
        <v>75</v>
      </c>
      <c r="B28" s="130">
        <f>B29+B30+B32+B33+B34+B35+B37+B44+B48+B60+B61+B36</f>
        <v>17980.000000000004</v>
      </c>
      <c r="C28" s="74">
        <f>C29+C30+C32+C33+C34+C35+C36+C37+C41+C44+C48+C60+C61</f>
        <v>21940.199999999997</v>
      </c>
      <c r="D28" s="155">
        <f>D29+D30+D32+D33+D34+D35+D37+D44+D48+D60+D61+D36</f>
        <v>1003.7</v>
      </c>
    </row>
    <row r="29" spans="1:4" s="6" customFormat="1" ht="31.5">
      <c r="A29" s="10" t="s">
        <v>40</v>
      </c>
      <c r="B29" s="129">
        <v>342.3</v>
      </c>
      <c r="C29" s="46"/>
      <c r="D29" s="81"/>
    </row>
    <row r="30" spans="1:4" s="6" customFormat="1">
      <c r="A30" s="10" t="s">
        <v>41</v>
      </c>
      <c r="B30" s="129">
        <v>349</v>
      </c>
      <c r="C30" s="46">
        <f>28</f>
        <v>28</v>
      </c>
      <c r="D30" s="81"/>
    </row>
    <row r="31" spans="1:4">
      <c r="A31" s="10" t="s">
        <v>24</v>
      </c>
      <c r="B31" s="129"/>
      <c r="C31" s="46"/>
      <c r="D31" s="81"/>
    </row>
    <row r="32" spans="1:4">
      <c r="A32" s="10" t="s">
        <v>9</v>
      </c>
      <c r="B32" s="129">
        <v>1365</v>
      </c>
      <c r="C32" s="46">
        <f>1304.3+92.3</f>
        <v>1396.6</v>
      </c>
      <c r="D32" s="81">
        <v>100.9</v>
      </c>
    </row>
    <row r="33" spans="1:4">
      <c r="A33" s="10" t="s">
        <v>25</v>
      </c>
      <c r="B33" s="129">
        <v>198.3</v>
      </c>
      <c r="C33" s="46">
        <f>198.4</f>
        <v>198.4</v>
      </c>
      <c r="D33" s="81"/>
    </row>
    <row r="34" spans="1:4" ht="17.25" customHeight="1">
      <c r="A34" s="10" t="s">
        <v>10</v>
      </c>
      <c r="B34" s="129">
        <v>65.599999999999994</v>
      </c>
      <c r="C34" s="46">
        <f>102.8+6.8</f>
        <v>109.6</v>
      </c>
      <c r="D34" s="81">
        <v>7.9</v>
      </c>
    </row>
    <row r="35" spans="1:4">
      <c r="A35" s="10" t="s">
        <v>11</v>
      </c>
      <c r="B35" s="129">
        <v>168.9</v>
      </c>
      <c r="C35" s="46">
        <f>25.5+92.8</f>
        <v>118.3</v>
      </c>
      <c r="D35" s="81">
        <v>0.9</v>
      </c>
    </row>
    <row r="36" spans="1:4">
      <c r="A36" s="10" t="s">
        <v>12</v>
      </c>
      <c r="B36" s="129">
        <v>604.4</v>
      </c>
      <c r="C36" s="46">
        <f>150</f>
        <v>150</v>
      </c>
      <c r="D36" s="81"/>
    </row>
    <row r="37" spans="1:4">
      <c r="A37" s="10" t="s">
        <v>28</v>
      </c>
      <c r="B37" s="129">
        <v>63.8</v>
      </c>
      <c r="C37" s="46">
        <f>322.9+11.9</f>
        <v>334.79999999999995</v>
      </c>
      <c r="D37" s="81">
        <v>6</v>
      </c>
    </row>
    <row r="38" spans="1:4" ht="31.5">
      <c r="A38" s="10" t="s">
        <v>13</v>
      </c>
      <c r="B38" s="129"/>
      <c r="C38" s="46"/>
      <c r="D38" s="81"/>
    </row>
    <row r="39" spans="1:4">
      <c r="A39" s="10" t="s">
        <v>14</v>
      </c>
      <c r="B39" s="129"/>
      <c r="C39" s="46"/>
      <c r="D39" s="81"/>
    </row>
    <row r="40" spans="1:4">
      <c r="A40" s="10" t="s">
        <v>31</v>
      </c>
      <c r="B40" s="129"/>
      <c r="C40" s="46"/>
      <c r="D40" s="81"/>
    </row>
    <row r="41" spans="1:4">
      <c r="A41" s="10" t="s">
        <v>76</v>
      </c>
      <c r="B41" s="129"/>
      <c r="C41" s="75"/>
      <c r="D41" s="81"/>
    </row>
    <row r="42" spans="1:4">
      <c r="A42" s="10" t="s">
        <v>15</v>
      </c>
      <c r="B42" s="129"/>
      <c r="C42" s="46"/>
      <c r="D42" s="81"/>
    </row>
    <row r="43" spans="1:4">
      <c r="A43" s="10" t="s">
        <v>16</v>
      </c>
      <c r="B43" s="129"/>
      <c r="C43" s="46"/>
      <c r="D43" s="81"/>
    </row>
    <row r="44" spans="1:4">
      <c r="A44" s="10" t="s">
        <v>17</v>
      </c>
      <c r="B44" s="129">
        <v>180.3</v>
      </c>
      <c r="C44" s="46">
        <f>125+12</f>
        <v>137</v>
      </c>
      <c r="D44" s="81"/>
    </row>
    <row r="45" spans="1:4">
      <c r="A45" s="10" t="s">
        <v>77</v>
      </c>
      <c r="B45" s="129"/>
      <c r="C45" s="46"/>
      <c r="D45" s="81"/>
    </row>
    <row r="46" spans="1:4">
      <c r="A46" s="10" t="s">
        <v>22</v>
      </c>
      <c r="B46" s="129"/>
      <c r="C46" s="46"/>
      <c r="D46" s="81"/>
    </row>
    <row r="47" spans="1:4">
      <c r="A47" s="10" t="s">
        <v>19</v>
      </c>
      <c r="B47" s="129"/>
      <c r="C47" s="46"/>
      <c r="D47" s="81"/>
    </row>
    <row r="48" spans="1:4">
      <c r="A48" s="10" t="s">
        <v>20</v>
      </c>
      <c r="B48" s="129">
        <v>374.4</v>
      </c>
      <c r="C48" s="46">
        <f>341.6</f>
        <v>341.6</v>
      </c>
      <c r="D48" s="81"/>
    </row>
    <row r="49" spans="1:4" ht="15.75" customHeight="1">
      <c r="A49" s="10" t="s">
        <v>23</v>
      </c>
      <c r="B49" s="129"/>
      <c r="C49" s="46"/>
      <c r="D49" s="81"/>
    </row>
    <row r="50" spans="1:4">
      <c r="A50" s="10" t="s">
        <v>18</v>
      </c>
      <c r="B50" s="129"/>
      <c r="C50" s="46"/>
      <c r="D50" s="81"/>
    </row>
    <row r="51" spans="1:4">
      <c r="A51" s="10" t="s">
        <v>38</v>
      </c>
      <c r="B51" s="129"/>
      <c r="C51" s="46"/>
      <c r="D51" s="81"/>
    </row>
    <row r="52" spans="1:4" ht="31.5">
      <c r="A52" s="10" t="s">
        <v>32</v>
      </c>
      <c r="B52" s="129"/>
      <c r="C52" s="46"/>
      <c r="D52" s="81"/>
    </row>
    <row r="53" spans="1:4">
      <c r="A53" s="10" t="s">
        <v>39</v>
      </c>
      <c r="B53" s="129"/>
      <c r="C53" s="46"/>
      <c r="D53" s="81"/>
    </row>
    <row r="54" spans="1:4">
      <c r="A54" s="10" t="s">
        <v>33</v>
      </c>
      <c r="B54" s="129"/>
      <c r="C54" s="46"/>
      <c r="D54" s="81"/>
    </row>
    <row r="55" spans="1:4">
      <c r="A55" s="10" t="s">
        <v>34</v>
      </c>
      <c r="B55" s="129"/>
      <c r="C55" s="46"/>
      <c r="D55" s="81"/>
    </row>
    <row r="56" spans="1:4">
      <c r="A56" s="10" t="s">
        <v>37</v>
      </c>
      <c r="B56" s="129"/>
      <c r="C56" s="46"/>
      <c r="D56" s="81"/>
    </row>
    <row r="57" spans="1:4" ht="31.5">
      <c r="A57" s="10" t="s">
        <v>35</v>
      </c>
      <c r="B57" s="129"/>
      <c r="C57" s="81"/>
      <c r="D57" s="81"/>
    </row>
    <row r="58" spans="1:4">
      <c r="A58" s="10" t="s">
        <v>36</v>
      </c>
      <c r="B58" s="129"/>
      <c r="C58" s="46"/>
      <c r="D58" s="81"/>
    </row>
    <row r="59" spans="1:4">
      <c r="A59" s="10" t="s">
        <v>30</v>
      </c>
      <c r="B59" s="129"/>
      <c r="C59" s="46"/>
      <c r="D59" s="81"/>
    </row>
    <row r="60" spans="1:4">
      <c r="A60" s="10" t="s">
        <v>78</v>
      </c>
      <c r="B60" s="129">
        <v>951.5</v>
      </c>
      <c r="C60" s="46">
        <f>4363.4</f>
        <v>4363.3999999999996</v>
      </c>
      <c r="D60" s="81"/>
    </row>
    <row r="61" spans="1:4">
      <c r="A61" s="10" t="s">
        <v>21</v>
      </c>
      <c r="B61" s="129">
        <v>13316.5</v>
      </c>
      <c r="C61" s="139">
        <f>12832.1+1930.4</f>
        <v>14762.5</v>
      </c>
      <c r="D61" s="81">
        <v>888</v>
      </c>
    </row>
    <row r="62" spans="1:4">
      <c r="A62" s="29" t="s">
        <v>79</v>
      </c>
      <c r="B62" s="131">
        <f>B63+B64+B66+B68+B70</f>
        <v>1658.9</v>
      </c>
      <c r="C62" s="74">
        <f>C63+C64+C66+C68+C70</f>
        <v>1783.5</v>
      </c>
      <c r="D62" s="156">
        <f>D63+D64+D66+D68+D70</f>
        <v>20.100000000000001</v>
      </c>
    </row>
    <row r="63" spans="1:4" s="30" customFormat="1">
      <c r="A63" s="10" t="s">
        <v>80</v>
      </c>
      <c r="B63" s="129">
        <v>3.8</v>
      </c>
      <c r="C63" s="46">
        <f>21</f>
        <v>21</v>
      </c>
      <c r="D63" s="81">
        <v>0.6</v>
      </c>
    </row>
    <row r="64" spans="1:4">
      <c r="A64" s="10" t="s">
        <v>81</v>
      </c>
      <c r="B64" s="129">
        <v>1415.7</v>
      </c>
      <c r="C64" s="46">
        <f>1531.5</f>
        <v>1531.5</v>
      </c>
      <c r="D64" s="81">
        <v>19.5</v>
      </c>
    </row>
    <row r="65" spans="1:4">
      <c r="A65" s="10" t="s">
        <v>15</v>
      </c>
      <c r="B65" s="129"/>
      <c r="C65" s="46"/>
      <c r="D65" s="81"/>
    </row>
    <row r="66" spans="1:4">
      <c r="A66" s="10" t="s">
        <v>82</v>
      </c>
      <c r="B66" s="129">
        <v>160</v>
      </c>
      <c r="C66" s="46">
        <f>160</f>
        <v>160</v>
      </c>
      <c r="D66" s="81"/>
    </row>
    <row r="67" spans="1:4">
      <c r="A67" s="10" t="s">
        <v>83</v>
      </c>
      <c r="B67" s="129"/>
      <c r="C67" s="46"/>
      <c r="D67" s="81"/>
    </row>
    <row r="68" spans="1:4">
      <c r="A68" s="10" t="s">
        <v>84</v>
      </c>
      <c r="B68" s="129">
        <v>8.4</v>
      </c>
      <c r="C68" s="46"/>
      <c r="D68" s="81"/>
    </row>
    <row r="69" spans="1:4">
      <c r="A69" s="10" t="s">
        <v>85</v>
      </c>
      <c r="B69" s="128"/>
      <c r="C69" s="46"/>
      <c r="D69" s="157"/>
    </row>
    <row r="70" spans="1:4">
      <c r="A70" s="10" t="s">
        <v>86</v>
      </c>
      <c r="B70" s="129">
        <v>71</v>
      </c>
      <c r="C70" s="46">
        <f>71</f>
        <v>71</v>
      </c>
      <c r="D70" s="81"/>
    </row>
    <row r="71" spans="1:4">
      <c r="A71" s="29" t="s">
        <v>87</v>
      </c>
      <c r="B71" s="130">
        <f>B72+B73+B74</f>
        <v>0</v>
      </c>
      <c r="C71" s="74">
        <f>C72+C73+C74</f>
        <v>0</v>
      </c>
      <c r="D71" s="155">
        <f>D72+D73+D74</f>
        <v>0</v>
      </c>
    </row>
    <row r="72" spans="1:4" ht="31.5">
      <c r="A72" s="10" t="s">
        <v>88</v>
      </c>
      <c r="B72" s="128"/>
      <c r="C72" s="46"/>
      <c r="D72" s="157"/>
    </row>
    <row r="73" spans="1:4">
      <c r="A73" s="10" t="s">
        <v>89</v>
      </c>
      <c r="B73" s="128"/>
      <c r="C73" s="46"/>
      <c r="D73" s="157"/>
    </row>
    <row r="74" spans="1:4">
      <c r="A74" s="10" t="s">
        <v>90</v>
      </c>
      <c r="B74" s="128"/>
      <c r="C74" s="46"/>
      <c r="D74" s="157"/>
    </row>
    <row r="75" spans="1:4">
      <c r="A75" s="29" t="s">
        <v>91</v>
      </c>
      <c r="B75" s="130">
        <f>B76+B77+B78+B79+B81+B82+B83</f>
        <v>3903.7</v>
      </c>
      <c r="C75" s="74">
        <f>C76+C77+C78+C79+C81+C82+C83</f>
        <v>8118.5</v>
      </c>
      <c r="D75" s="155">
        <f>D76+D77+D78+D79+D81+D82+D83</f>
        <v>748</v>
      </c>
    </row>
    <row r="76" spans="1:4">
      <c r="A76" s="9" t="s">
        <v>92</v>
      </c>
      <c r="B76" s="129">
        <v>188.1</v>
      </c>
      <c r="C76" s="46">
        <f>43.5+71.7</f>
        <v>115.2</v>
      </c>
      <c r="D76" s="81">
        <v>49.3</v>
      </c>
    </row>
    <row r="77" spans="1:4">
      <c r="A77" s="9" t="s">
        <v>0</v>
      </c>
      <c r="B77" s="129">
        <v>361.8</v>
      </c>
      <c r="C77" s="46">
        <f>573.5+85.1</f>
        <v>658.6</v>
      </c>
      <c r="D77" s="81">
        <v>9.5</v>
      </c>
    </row>
    <row r="78" spans="1:4">
      <c r="A78" s="9" t="s">
        <v>1</v>
      </c>
      <c r="B78" s="129">
        <v>373.9</v>
      </c>
      <c r="C78" s="46">
        <f>272.1+66</f>
        <v>338.1</v>
      </c>
      <c r="D78" s="81">
        <v>150</v>
      </c>
    </row>
    <row r="79" spans="1:4">
      <c r="A79" s="9" t="s">
        <v>93</v>
      </c>
      <c r="B79" s="129">
        <v>398.8</v>
      </c>
      <c r="C79" s="46">
        <f>304.8</f>
        <v>304.8</v>
      </c>
      <c r="D79" s="81"/>
    </row>
    <row r="80" spans="1:4">
      <c r="A80" s="9" t="s">
        <v>26</v>
      </c>
      <c r="B80" s="129"/>
      <c r="C80" s="46"/>
      <c r="D80" s="81"/>
    </row>
    <row r="81" spans="1:4">
      <c r="A81" s="9" t="s">
        <v>2</v>
      </c>
      <c r="B81" s="129">
        <v>558.1</v>
      </c>
      <c r="C81" s="46">
        <f>3718.8+49.3</f>
        <v>3768.1000000000004</v>
      </c>
      <c r="D81" s="81">
        <v>42.1</v>
      </c>
    </row>
    <row r="82" spans="1:4">
      <c r="A82" s="9" t="s">
        <v>94</v>
      </c>
      <c r="B82" s="129">
        <v>344.2</v>
      </c>
      <c r="C82" s="46">
        <f>337</f>
        <v>337</v>
      </c>
      <c r="D82" s="81">
        <v>1.2</v>
      </c>
    </row>
    <row r="83" spans="1:4">
      <c r="A83" s="9" t="s">
        <v>95</v>
      </c>
      <c r="B83" s="129">
        <v>1678.8</v>
      </c>
      <c r="C83" s="47">
        <f>2493+103.7</f>
        <v>2596.6999999999998</v>
      </c>
      <c r="D83" s="81">
        <v>495.9</v>
      </c>
    </row>
    <row r="84" spans="1:4">
      <c r="A84" s="8" t="s">
        <v>96</v>
      </c>
      <c r="B84" s="128"/>
      <c r="C84" s="47"/>
      <c r="D84" s="157"/>
    </row>
    <row r="85" spans="1:4" ht="15.75" customHeight="1">
      <c r="A85" s="10" t="s">
        <v>97</v>
      </c>
      <c r="B85" s="128"/>
      <c r="C85" s="46"/>
      <c r="D85" s="157"/>
    </row>
    <row r="86" spans="1:4">
      <c r="A86" s="10" t="s">
        <v>98</v>
      </c>
      <c r="B86" s="128"/>
      <c r="C86" s="46"/>
      <c r="D86" s="157"/>
    </row>
    <row r="87" spans="1:4">
      <c r="A87" s="10" t="s">
        <v>99</v>
      </c>
      <c r="B87" s="128"/>
      <c r="C87" s="46"/>
      <c r="D87" s="157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>
    <tabColor rgb="FFFFFF00"/>
  </sheetPr>
  <dimension ref="A1:D199"/>
  <sheetViews>
    <sheetView view="pageBreakPreview" topLeftCell="A7" zoomScale="85" zoomScaleSheetLayoutView="85" workbookViewId="0">
      <selection activeCell="A22" sqref="A22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 ht="15.75" customHeight="1">
      <c r="A4" s="191" t="s">
        <v>65</v>
      </c>
      <c r="B4" s="191"/>
      <c r="C4" s="191"/>
      <c r="D4" s="191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90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4" ht="19.5" customHeight="1">
      <c r="A8" s="3">
        <v>1</v>
      </c>
      <c r="B8" s="3">
        <v>2</v>
      </c>
      <c r="C8" s="3">
        <v>3</v>
      </c>
      <c r="D8" s="95">
        <v>4</v>
      </c>
    </row>
    <row r="9" spans="1:4" ht="25.5">
      <c r="A9" s="7" t="s">
        <v>68</v>
      </c>
      <c r="B9" s="91">
        <f>B15+B28+B62+B71+B75+B84+B10+B30</f>
        <v>730.10000000000014</v>
      </c>
      <c r="C9" s="144">
        <f>C15+C28+C62+C71+C75+C84+C10</f>
        <v>749.10000000000014</v>
      </c>
      <c r="D9" s="91">
        <f>D15+D28+D62+D71+D75+D84+D10+D30</f>
        <v>11.6</v>
      </c>
    </row>
    <row r="10" spans="1:4">
      <c r="A10" s="7" t="s">
        <v>69</v>
      </c>
      <c r="B10" s="91"/>
      <c r="C10" s="144"/>
      <c r="D10" s="91"/>
    </row>
    <row r="11" spans="1:4">
      <c r="A11" s="9" t="s">
        <v>70</v>
      </c>
      <c r="B11" s="92"/>
      <c r="C11" s="145"/>
      <c r="D11" s="92"/>
    </row>
    <row r="12" spans="1:4">
      <c r="A12" s="9" t="s">
        <v>27</v>
      </c>
      <c r="B12" s="92"/>
      <c r="C12" s="145"/>
      <c r="D12" s="92"/>
    </row>
    <row r="13" spans="1:4">
      <c r="A13" s="9" t="s">
        <v>71</v>
      </c>
      <c r="B13" s="92"/>
      <c r="C13" s="145"/>
      <c r="D13" s="92"/>
    </row>
    <row r="14" spans="1:4">
      <c r="A14" s="9" t="s">
        <v>5</v>
      </c>
      <c r="B14" s="92"/>
      <c r="C14" s="145">
        <v>0</v>
      </c>
      <c r="D14" s="92"/>
    </row>
    <row r="15" spans="1:4">
      <c r="A15" s="8" t="s">
        <v>72</v>
      </c>
      <c r="B15" s="93">
        <f>B16+B23+B24+B25+B27</f>
        <v>81.8</v>
      </c>
      <c r="C15" s="27">
        <f>C16+C23+C24+C25+C27</f>
        <v>151.29999999999998</v>
      </c>
      <c r="D15" s="93">
        <f>D16+D23+D24+D25+D27</f>
        <v>4.8</v>
      </c>
    </row>
    <row r="16" spans="1:4" s="6" customFormat="1" ht="31.5">
      <c r="A16" s="9" t="s">
        <v>40</v>
      </c>
      <c r="B16" s="92">
        <v>60</v>
      </c>
      <c r="C16" s="145">
        <v>126.8</v>
      </c>
      <c r="D16" s="92">
        <v>3.5</v>
      </c>
    </row>
    <row r="17" spans="1:4" s="6" customFormat="1">
      <c r="A17" s="9" t="s">
        <v>41</v>
      </c>
      <c r="B17" s="93"/>
      <c r="C17" s="27"/>
      <c r="D17" s="93"/>
    </row>
    <row r="18" spans="1:4" ht="18.75" customHeight="1">
      <c r="A18" s="9" t="s">
        <v>6</v>
      </c>
      <c r="B18" s="92"/>
      <c r="C18" s="145"/>
      <c r="D18" s="92"/>
    </row>
    <row r="19" spans="1:4">
      <c r="A19" s="9" t="s">
        <v>29</v>
      </c>
      <c r="B19" s="92"/>
      <c r="C19" s="145"/>
      <c r="D19" s="92"/>
    </row>
    <row r="20" spans="1:4">
      <c r="A20" s="9" t="s">
        <v>15</v>
      </c>
      <c r="B20" s="92"/>
      <c r="C20" s="145"/>
      <c r="D20" s="92"/>
    </row>
    <row r="21" spans="1:4" ht="31.5">
      <c r="A21" s="10" t="s">
        <v>7</v>
      </c>
      <c r="B21" s="92"/>
      <c r="C21" s="145"/>
      <c r="D21" s="92"/>
    </row>
    <row r="22" spans="1:4">
      <c r="A22" s="10" t="s">
        <v>8</v>
      </c>
      <c r="B22" s="92"/>
      <c r="C22" s="145"/>
      <c r="D22" s="92"/>
    </row>
    <row r="23" spans="1:4">
      <c r="A23" s="10" t="s">
        <v>73</v>
      </c>
      <c r="B23" s="92">
        <v>15.3</v>
      </c>
      <c r="C23" s="145">
        <v>14.4</v>
      </c>
      <c r="D23" s="92">
        <v>0</v>
      </c>
    </row>
    <row r="24" spans="1:4">
      <c r="A24" s="10" t="s">
        <v>74</v>
      </c>
      <c r="B24" s="92">
        <v>0</v>
      </c>
      <c r="C24" s="145">
        <v>0.6</v>
      </c>
      <c r="D24" s="92">
        <v>0</v>
      </c>
    </row>
    <row r="25" spans="1:4">
      <c r="A25" s="10" t="s">
        <v>4</v>
      </c>
      <c r="B25" s="92">
        <v>6.5</v>
      </c>
      <c r="C25" s="145">
        <v>9.5</v>
      </c>
      <c r="D25" s="92">
        <v>1.3</v>
      </c>
    </row>
    <row r="26" spans="1:4">
      <c r="A26" s="10" t="s">
        <v>45</v>
      </c>
      <c r="B26" s="92"/>
      <c r="C26" s="145"/>
      <c r="D26" s="92"/>
    </row>
    <row r="27" spans="1:4">
      <c r="A27" s="11" t="s">
        <v>3</v>
      </c>
      <c r="B27" s="92"/>
      <c r="C27" s="145">
        <v>0</v>
      </c>
      <c r="D27" s="92">
        <v>0</v>
      </c>
    </row>
    <row r="28" spans="1:4">
      <c r="A28" s="28" t="s">
        <v>75</v>
      </c>
      <c r="B28" s="40">
        <f>B32+B34+B35+B36+B37+B38+B44+B61+B49+B41+B60+B59</f>
        <v>397.60000000000008</v>
      </c>
      <c r="C28" s="40">
        <f>C32+C34+C35+C36+C37+C38+C44+C61+C30+C49+C41+C60+C59</f>
        <v>407.10000000000008</v>
      </c>
      <c r="D28" s="40">
        <f>D32+D34+D35+D36+D37+D38+D44+D61+D49+D41+D60+D59</f>
        <v>5.3</v>
      </c>
    </row>
    <row r="29" spans="1:4" s="6" customFormat="1" ht="31.5">
      <c r="A29" s="10" t="s">
        <v>40</v>
      </c>
      <c r="B29" s="93"/>
      <c r="C29" s="27"/>
      <c r="D29" s="93"/>
    </row>
    <row r="30" spans="1:4" s="6" customFormat="1">
      <c r="A30" s="10" t="s">
        <v>41</v>
      </c>
      <c r="B30" s="93"/>
      <c r="C30" s="139">
        <v>0.8</v>
      </c>
      <c r="D30" s="93">
        <v>0</v>
      </c>
    </row>
    <row r="31" spans="1:4">
      <c r="A31" s="10" t="s">
        <v>24</v>
      </c>
      <c r="B31" s="92"/>
      <c r="C31" s="139"/>
      <c r="D31" s="92"/>
    </row>
    <row r="32" spans="1:4">
      <c r="A32" s="10" t="s">
        <v>9</v>
      </c>
      <c r="B32" s="92">
        <v>256.10000000000002</v>
      </c>
      <c r="C32" s="139">
        <v>222.9</v>
      </c>
      <c r="D32" s="92">
        <v>5.3</v>
      </c>
    </row>
    <row r="33" spans="1:4">
      <c r="A33" s="10" t="s">
        <v>25</v>
      </c>
      <c r="B33" s="92"/>
      <c r="C33" s="145"/>
      <c r="D33" s="92"/>
    </row>
    <row r="34" spans="1:4" ht="17.25" customHeight="1">
      <c r="A34" s="10" t="s">
        <v>10</v>
      </c>
      <c r="B34" s="92">
        <v>7.8</v>
      </c>
      <c r="C34" s="145">
        <v>6.4</v>
      </c>
      <c r="D34" s="92">
        <v>0</v>
      </c>
    </row>
    <row r="35" spans="1:4">
      <c r="A35" s="10" t="s">
        <v>11</v>
      </c>
      <c r="B35" s="92">
        <v>15.8</v>
      </c>
      <c r="C35" s="145">
        <v>51.3</v>
      </c>
      <c r="D35" s="92">
        <v>0</v>
      </c>
    </row>
    <row r="36" spans="1:4">
      <c r="A36" s="10" t="s">
        <v>12</v>
      </c>
      <c r="B36" s="92">
        <v>2.5</v>
      </c>
      <c r="C36" s="139">
        <v>3</v>
      </c>
      <c r="D36" s="92">
        <v>0</v>
      </c>
    </row>
    <row r="37" spans="1:4">
      <c r="A37" s="10" t="s">
        <v>28</v>
      </c>
      <c r="B37" s="92">
        <v>20.7</v>
      </c>
      <c r="C37" s="139">
        <v>27.1</v>
      </c>
      <c r="D37" s="92">
        <v>0</v>
      </c>
    </row>
    <row r="38" spans="1:4" ht="31.5">
      <c r="A38" s="10" t="s">
        <v>13</v>
      </c>
      <c r="B38" s="92"/>
      <c r="C38" s="139">
        <v>0</v>
      </c>
      <c r="D38" s="92">
        <v>0</v>
      </c>
    </row>
    <row r="39" spans="1:4">
      <c r="A39" s="10" t="s">
        <v>14</v>
      </c>
      <c r="B39" s="92"/>
      <c r="C39" s="139"/>
      <c r="D39" s="92"/>
    </row>
    <row r="40" spans="1:4">
      <c r="A40" s="10" t="s">
        <v>31</v>
      </c>
      <c r="B40" s="92"/>
      <c r="C40" s="139"/>
      <c r="D40" s="92"/>
    </row>
    <row r="41" spans="1:4">
      <c r="A41" s="10" t="s">
        <v>76</v>
      </c>
      <c r="B41" s="92"/>
      <c r="C41" s="139">
        <v>0</v>
      </c>
      <c r="D41" s="92">
        <v>0</v>
      </c>
    </row>
    <row r="42" spans="1:4">
      <c r="A42" s="10" t="s">
        <v>15</v>
      </c>
      <c r="B42" s="92"/>
      <c r="C42" s="139"/>
      <c r="D42" s="92"/>
    </row>
    <row r="43" spans="1:4">
      <c r="A43" s="10" t="s">
        <v>16</v>
      </c>
      <c r="B43" s="92"/>
      <c r="C43" s="139"/>
      <c r="D43" s="92"/>
    </row>
    <row r="44" spans="1:4">
      <c r="A44" s="10" t="s">
        <v>17</v>
      </c>
      <c r="B44" s="92">
        <v>24</v>
      </c>
      <c r="C44" s="139">
        <v>25</v>
      </c>
      <c r="D44" s="92">
        <v>0</v>
      </c>
    </row>
    <row r="45" spans="1:4">
      <c r="A45" s="10" t="s">
        <v>77</v>
      </c>
      <c r="B45" s="92"/>
      <c r="C45" s="145"/>
      <c r="D45" s="92"/>
    </row>
    <row r="46" spans="1:4">
      <c r="A46" s="10" t="s">
        <v>22</v>
      </c>
      <c r="B46" s="92"/>
      <c r="C46" s="145"/>
      <c r="D46" s="92"/>
    </row>
    <row r="47" spans="1:4">
      <c r="A47" s="10" t="s">
        <v>19</v>
      </c>
      <c r="B47" s="92"/>
      <c r="C47" s="145"/>
      <c r="D47" s="92"/>
    </row>
    <row r="48" spans="1:4">
      <c r="A48" s="10" t="s">
        <v>20</v>
      </c>
      <c r="B48" s="92"/>
      <c r="C48" s="145"/>
      <c r="D48" s="92"/>
    </row>
    <row r="49" spans="1:4" ht="15.75" customHeight="1">
      <c r="A49" s="10" t="s">
        <v>23</v>
      </c>
      <c r="B49" s="92"/>
      <c r="C49" s="145">
        <v>0</v>
      </c>
      <c r="D49" s="92">
        <v>0</v>
      </c>
    </row>
    <row r="50" spans="1:4">
      <c r="A50" s="10" t="s">
        <v>18</v>
      </c>
      <c r="B50" s="92"/>
      <c r="C50" s="145"/>
      <c r="D50" s="92"/>
    </row>
    <row r="51" spans="1:4">
      <c r="A51" s="10" t="s">
        <v>38</v>
      </c>
      <c r="B51" s="92"/>
      <c r="C51" s="145"/>
      <c r="D51" s="92"/>
    </row>
    <row r="52" spans="1:4" ht="31.5">
      <c r="A52" s="10" t="s">
        <v>32</v>
      </c>
      <c r="B52" s="92"/>
      <c r="C52" s="145"/>
      <c r="D52" s="92"/>
    </row>
    <row r="53" spans="1:4">
      <c r="A53" s="10" t="s">
        <v>39</v>
      </c>
      <c r="B53" s="92"/>
      <c r="C53" s="145"/>
      <c r="D53" s="92"/>
    </row>
    <row r="54" spans="1:4">
      <c r="A54" s="10" t="s">
        <v>33</v>
      </c>
      <c r="B54" s="92"/>
      <c r="C54" s="145"/>
      <c r="D54" s="92"/>
    </row>
    <row r="55" spans="1:4">
      <c r="A55" s="10" t="s">
        <v>34</v>
      </c>
      <c r="B55" s="92"/>
      <c r="C55" s="145"/>
      <c r="D55" s="92"/>
    </row>
    <row r="56" spans="1:4">
      <c r="A56" s="10" t="s">
        <v>37</v>
      </c>
      <c r="B56" s="92"/>
      <c r="C56" s="145"/>
      <c r="D56" s="92"/>
    </row>
    <row r="57" spans="1:4" ht="31.5">
      <c r="A57" s="10" t="s">
        <v>35</v>
      </c>
      <c r="B57" s="92"/>
      <c r="C57" s="145"/>
      <c r="D57" s="92"/>
    </row>
    <row r="58" spans="1:4">
      <c r="A58" s="10" t="s">
        <v>36</v>
      </c>
      <c r="B58" s="92"/>
      <c r="C58" s="145"/>
      <c r="D58" s="92"/>
    </row>
    <row r="59" spans="1:4">
      <c r="A59" s="10" t="s">
        <v>30</v>
      </c>
      <c r="B59" s="92">
        <v>1.5</v>
      </c>
      <c r="C59" s="145">
        <v>0</v>
      </c>
      <c r="D59" s="92">
        <v>0</v>
      </c>
    </row>
    <row r="60" spans="1:4">
      <c r="A60" s="10" t="s">
        <v>78</v>
      </c>
      <c r="B60" s="92">
        <v>45.6</v>
      </c>
      <c r="C60" s="145">
        <v>37.799999999999997</v>
      </c>
      <c r="D60" s="92">
        <v>0</v>
      </c>
    </row>
    <row r="61" spans="1:4">
      <c r="A61" s="10" t="s">
        <v>21</v>
      </c>
      <c r="B61" s="92">
        <v>23.6</v>
      </c>
      <c r="C61" s="145">
        <v>32.799999999999997</v>
      </c>
      <c r="D61" s="92">
        <v>0</v>
      </c>
    </row>
    <row r="62" spans="1:4">
      <c r="A62" s="29" t="s">
        <v>79</v>
      </c>
      <c r="B62" s="53">
        <f>B63+B64+B65+B66+B67+B68+B69+B70</f>
        <v>60.2</v>
      </c>
      <c r="C62" s="53">
        <f>C63+C64+C65+C66+C67+C68+C69+C70</f>
        <v>23.4</v>
      </c>
      <c r="D62" s="53">
        <f>D63+D64+D65+D66+D67+D68+D69+D70</f>
        <v>0</v>
      </c>
    </row>
    <row r="63" spans="1:4" s="30" customFormat="1">
      <c r="A63" s="10" t="s">
        <v>80</v>
      </c>
      <c r="B63" s="147"/>
      <c r="C63" s="147">
        <v>0</v>
      </c>
      <c r="D63" s="147"/>
    </row>
    <row r="64" spans="1:4">
      <c r="A64" s="10" t="s">
        <v>81</v>
      </c>
      <c r="B64" s="92"/>
      <c r="C64" s="145"/>
      <c r="D64" s="92"/>
    </row>
    <row r="65" spans="1:4">
      <c r="A65" s="10" t="s">
        <v>15</v>
      </c>
      <c r="B65" s="92"/>
      <c r="C65" s="145"/>
      <c r="D65" s="92"/>
    </row>
    <row r="66" spans="1:4">
      <c r="A66" s="10" t="s">
        <v>82</v>
      </c>
      <c r="B66" s="92">
        <v>20</v>
      </c>
      <c r="C66" s="145">
        <v>20</v>
      </c>
      <c r="D66" s="92">
        <v>0</v>
      </c>
    </row>
    <row r="67" spans="1:4">
      <c r="A67" s="10" t="s">
        <v>83</v>
      </c>
      <c r="B67" s="92"/>
      <c r="C67" s="145"/>
      <c r="D67" s="92"/>
    </row>
    <row r="68" spans="1:4">
      <c r="A68" s="10" t="s">
        <v>84</v>
      </c>
      <c r="B68" s="94">
        <v>30.2</v>
      </c>
      <c r="C68" s="145">
        <v>3.4</v>
      </c>
      <c r="D68" s="94">
        <v>0</v>
      </c>
    </row>
    <row r="69" spans="1:4">
      <c r="A69" s="10" t="s">
        <v>85</v>
      </c>
      <c r="B69" s="92"/>
      <c r="C69" s="145"/>
      <c r="D69" s="92"/>
    </row>
    <row r="70" spans="1:4">
      <c r="A70" s="10" t="s">
        <v>86</v>
      </c>
      <c r="B70" s="92">
        <v>10</v>
      </c>
      <c r="C70" s="145">
        <v>0</v>
      </c>
      <c r="D70" s="92">
        <v>0</v>
      </c>
    </row>
    <row r="71" spans="1:4">
      <c r="A71" s="29" t="s">
        <v>87</v>
      </c>
      <c r="B71" s="92"/>
      <c r="C71" s="145"/>
      <c r="D71" s="92"/>
    </row>
    <row r="72" spans="1:4" ht="31.5">
      <c r="A72" s="10" t="s">
        <v>88</v>
      </c>
      <c r="B72" s="92"/>
      <c r="C72" s="145"/>
      <c r="D72" s="92"/>
    </row>
    <row r="73" spans="1:4">
      <c r="A73" s="10" t="s">
        <v>89</v>
      </c>
      <c r="B73" s="92"/>
      <c r="C73" s="145"/>
      <c r="D73" s="92"/>
    </row>
    <row r="74" spans="1:4">
      <c r="A74" s="10" t="s">
        <v>90</v>
      </c>
      <c r="B74" s="92"/>
      <c r="C74" s="145"/>
      <c r="D74" s="92"/>
    </row>
    <row r="75" spans="1:4">
      <c r="A75" s="29" t="s">
        <v>91</v>
      </c>
      <c r="B75" s="53">
        <f>B77+B78+B81+B82+B83</f>
        <v>190.5</v>
      </c>
      <c r="C75" s="54">
        <f>C76+C77+C78+C79+C80+C81+C82+C83</f>
        <v>167.3</v>
      </c>
      <c r="D75" s="53">
        <f>D77+D78+D81+D82+D83</f>
        <v>1.5</v>
      </c>
    </row>
    <row r="76" spans="1:4">
      <c r="A76" s="9" t="s">
        <v>92</v>
      </c>
      <c r="B76" s="92"/>
      <c r="C76" s="145"/>
      <c r="D76" s="92"/>
    </row>
    <row r="77" spans="1:4">
      <c r="A77" s="9" t="s">
        <v>0</v>
      </c>
      <c r="B77" s="92">
        <v>64.900000000000006</v>
      </c>
      <c r="C77" s="145">
        <v>28.8</v>
      </c>
      <c r="D77" s="92">
        <v>1.5</v>
      </c>
    </row>
    <row r="78" spans="1:4">
      <c r="A78" s="9" t="s">
        <v>1</v>
      </c>
      <c r="B78" s="92">
        <v>46.4</v>
      </c>
      <c r="C78" s="145">
        <v>56.7</v>
      </c>
      <c r="D78" s="92">
        <v>0</v>
      </c>
    </row>
    <row r="79" spans="1:4">
      <c r="A79" s="9" t="s">
        <v>93</v>
      </c>
      <c r="B79" s="92"/>
      <c r="C79" s="145"/>
      <c r="D79" s="92"/>
    </row>
    <row r="80" spans="1:4">
      <c r="A80" s="9" t="s">
        <v>26</v>
      </c>
      <c r="B80" s="92"/>
      <c r="C80" s="145"/>
      <c r="D80" s="92"/>
    </row>
    <row r="81" spans="1:4">
      <c r="A81" s="9" t="s">
        <v>2</v>
      </c>
      <c r="B81" s="92">
        <v>21.7</v>
      </c>
      <c r="C81" s="145">
        <v>21.6</v>
      </c>
      <c r="D81" s="92">
        <v>0</v>
      </c>
    </row>
    <row r="82" spans="1:4">
      <c r="A82" s="9" t="s">
        <v>94</v>
      </c>
      <c r="B82" s="92"/>
      <c r="C82" s="145">
        <v>0</v>
      </c>
      <c r="D82" s="92"/>
    </row>
    <row r="83" spans="1:4">
      <c r="A83" s="9" t="s">
        <v>95</v>
      </c>
      <c r="B83" s="92">
        <v>57.5</v>
      </c>
      <c r="C83" s="146">
        <v>60.2</v>
      </c>
      <c r="D83" s="92">
        <v>0</v>
      </c>
    </row>
    <row r="84" spans="1:4">
      <c r="A84" s="8" t="s">
        <v>96</v>
      </c>
      <c r="B84" s="92"/>
      <c r="C84" s="146"/>
      <c r="D84" s="92"/>
    </row>
    <row r="85" spans="1:4" ht="15.75" customHeight="1">
      <c r="A85" s="10" t="s">
        <v>97</v>
      </c>
      <c r="B85" s="92"/>
      <c r="C85" s="145"/>
      <c r="D85" s="92"/>
    </row>
    <row r="86" spans="1:4">
      <c r="A86" s="10" t="s">
        <v>98</v>
      </c>
      <c r="B86" s="92"/>
      <c r="C86" s="145"/>
      <c r="D86" s="92"/>
    </row>
    <row r="87" spans="1:4">
      <c r="A87" s="10" t="s">
        <v>99</v>
      </c>
      <c r="B87" s="92"/>
      <c r="C87" s="145"/>
      <c r="D87" s="92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>
    <tabColor rgb="FFFFFF00"/>
  </sheetPr>
  <dimension ref="A1:D199"/>
  <sheetViews>
    <sheetView topLeftCell="A28" workbookViewId="0">
      <selection activeCell="D40" sqref="D40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 ht="15.75" customHeight="1">
      <c r="A4" s="191" t="s">
        <v>65</v>
      </c>
      <c r="B4" s="191"/>
      <c r="C4" s="191"/>
      <c r="D4" s="191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90" customHeight="1">
      <c r="A7" s="23" t="s">
        <v>67</v>
      </c>
      <c r="B7" s="23" t="s">
        <v>111</v>
      </c>
      <c r="C7" s="23" t="s">
        <v>116</v>
      </c>
      <c r="D7" s="24" t="s">
        <v>115</v>
      </c>
    </row>
    <row r="8" spans="1:4" ht="24" customHeight="1">
      <c r="A8" s="3">
        <v>1</v>
      </c>
      <c r="B8" s="3">
        <v>2</v>
      </c>
      <c r="C8" s="3">
        <v>3</v>
      </c>
      <c r="D8" s="95">
        <v>4</v>
      </c>
    </row>
    <row r="9" spans="1:4" ht="25.5">
      <c r="A9" s="7" t="s">
        <v>68</v>
      </c>
      <c r="B9" s="144">
        <f>B10+B15+B28+B62+B71+B75+B84</f>
        <v>2101</v>
      </c>
      <c r="C9" s="144">
        <f>C10+C15+C28+C62+C71+C75+C84</f>
        <v>2036.8</v>
      </c>
      <c r="D9" s="144">
        <f>D10+D15+D28+D62+D71+D75+D84</f>
        <v>204.99999999999997</v>
      </c>
    </row>
    <row r="10" spans="1:4">
      <c r="A10" s="7" t="s">
        <v>69</v>
      </c>
      <c r="B10" s="144">
        <f t="shared" ref="B10" si="0">SUM(B11:B14)</f>
        <v>0</v>
      </c>
      <c r="C10" s="144">
        <f t="shared" ref="C10:D10" si="1">SUM(C11:C14)</f>
        <v>0</v>
      </c>
      <c r="D10" s="144">
        <f t="shared" si="1"/>
        <v>0</v>
      </c>
    </row>
    <row r="11" spans="1:4">
      <c r="A11" s="9" t="s">
        <v>70</v>
      </c>
      <c r="B11" s="145"/>
      <c r="C11" s="145"/>
      <c r="D11" s="145"/>
    </row>
    <row r="12" spans="1:4">
      <c r="A12" s="9" t="s">
        <v>27</v>
      </c>
      <c r="B12" s="145"/>
      <c r="C12" s="145"/>
      <c r="D12" s="145"/>
    </row>
    <row r="13" spans="1:4">
      <c r="A13" s="9" t="s">
        <v>71</v>
      </c>
      <c r="B13" s="145"/>
      <c r="C13" s="145"/>
      <c r="D13" s="145"/>
    </row>
    <row r="14" spans="1:4">
      <c r="A14" s="9" t="s">
        <v>5</v>
      </c>
      <c r="B14" s="145"/>
      <c r="C14" s="145"/>
      <c r="D14" s="145"/>
    </row>
    <row r="15" spans="1:4">
      <c r="A15" s="8" t="s">
        <v>72</v>
      </c>
      <c r="B15" s="41">
        <f t="shared" ref="B15:D15" si="2">SUM(B16:B27)</f>
        <v>1301.9000000000001</v>
      </c>
      <c r="C15" s="41">
        <f t="shared" si="2"/>
        <v>1357.9</v>
      </c>
      <c r="D15" s="41">
        <f t="shared" si="2"/>
        <v>154.89999999999998</v>
      </c>
    </row>
    <row r="16" spans="1:4" s="6" customFormat="1" ht="31.5">
      <c r="A16" s="9" t="s">
        <v>40</v>
      </c>
      <c r="B16" s="49">
        <v>132</v>
      </c>
      <c r="C16" s="49">
        <v>132</v>
      </c>
      <c r="D16" s="49">
        <v>11</v>
      </c>
    </row>
    <row r="17" spans="1:4" s="6" customFormat="1">
      <c r="A17" s="9" t="s">
        <v>41</v>
      </c>
      <c r="B17" s="51"/>
      <c r="C17" s="51"/>
      <c r="D17" s="51"/>
    </row>
    <row r="18" spans="1:4" ht="18.75" customHeight="1">
      <c r="A18" s="9" t="s">
        <v>6</v>
      </c>
      <c r="B18" s="49">
        <v>1114.5</v>
      </c>
      <c r="C18" s="49">
        <v>1021.7</v>
      </c>
      <c r="D18" s="49">
        <v>142.69999999999999</v>
      </c>
    </row>
    <row r="19" spans="1:4">
      <c r="A19" s="9" t="s">
        <v>29</v>
      </c>
      <c r="B19" s="49"/>
      <c r="C19" s="49"/>
      <c r="D19" s="49"/>
    </row>
    <row r="20" spans="1:4">
      <c r="A20" s="9" t="s">
        <v>15</v>
      </c>
      <c r="B20" s="49"/>
      <c r="C20" s="49"/>
      <c r="D20" s="49"/>
    </row>
    <row r="21" spans="1:4" ht="31.5">
      <c r="A21" s="10" t="s">
        <v>7</v>
      </c>
      <c r="B21" s="49">
        <v>17.3</v>
      </c>
      <c r="C21" s="49">
        <v>19</v>
      </c>
      <c r="D21" s="49">
        <v>1.2</v>
      </c>
    </row>
    <row r="22" spans="1:4">
      <c r="A22" s="10" t="s">
        <v>8</v>
      </c>
      <c r="B22" s="49"/>
      <c r="C22" s="49"/>
      <c r="D22" s="49"/>
    </row>
    <row r="23" spans="1:4">
      <c r="A23" s="10" t="s">
        <v>73</v>
      </c>
      <c r="B23" s="49">
        <v>19.399999999999999</v>
      </c>
      <c r="C23" s="49">
        <v>25.2</v>
      </c>
      <c r="D23" s="49">
        <v>0</v>
      </c>
    </row>
    <row r="24" spans="1:4">
      <c r="A24" s="10" t="s">
        <v>74</v>
      </c>
      <c r="B24" s="49"/>
      <c r="C24" s="49"/>
      <c r="D24" s="49"/>
    </row>
    <row r="25" spans="1:4">
      <c r="A25" s="10" t="s">
        <v>4</v>
      </c>
      <c r="B25" s="49"/>
      <c r="C25" s="49"/>
      <c r="D25" s="49"/>
    </row>
    <row r="26" spans="1:4">
      <c r="A26" s="10" t="s">
        <v>45</v>
      </c>
      <c r="B26" s="49"/>
      <c r="C26" s="49"/>
      <c r="D26" s="49"/>
    </row>
    <row r="27" spans="1:4">
      <c r="A27" s="11" t="s">
        <v>3</v>
      </c>
      <c r="B27" s="49">
        <v>18.7</v>
      </c>
      <c r="C27" s="49">
        <v>160</v>
      </c>
      <c r="D27" s="49">
        <v>0</v>
      </c>
    </row>
    <row r="28" spans="1:4">
      <c r="A28" s="28" t="s">
        <v>75</v>
      </c>
      <c r="B28" s="40">
        <f>SUM(B29:B61)</f>
        <v>539.29999999999995</v>
      </c>
      <c r="C28" s="40">
        <f>SUM(C29:C61)</f>
        <v>397</v>
      </c>
      <c r="D28" s="40">
        <f>SUM(D29:D61)</f>
        <v>30.1</v>
      </c>
    </row>
    <row r="29" spans="1:4" s="6" customFormat="1" ht="31.5">
      <c r="A29" s="10" t="s">
        <v>40</v>
      </c>
      <c r="B29" s="145">
        <v>15</v>
      </c>
      <c r="C29" s="145">
        <v>20</v>
      </c>
      <c r="D29" s="145"/>
    </row>
    <row r="30" spans="1:4" s="6" customFormat="1">
      <c r="A30" s="10" t="s">
        <v>41</v>
      </c>
      <c r="B30" s="27"/>
      <c r="C30" s="27"/>
      <c r="D30" s="27"/>
    </row>
    <row r="31" spans="1:4">
      <c r="A31" s="10" t="s">
        <v>24</v>
      </c>
      <c r="B31" s="145"/>
      <c r="C31" s="145"/>
      <c r="D31" s="145"/>
    </row>
    <row r="32" spans="1:4">
      <c r="A32" s="10" t="s">
        <v>9</v>
      </c>
      <c r="B32" s="145">
        <v>223.7</v>
      </c>
      <c r="C32" s="145">
        <v>217</v>
      </c>
      <c r="D32" s="145">
        <v>26.1</v>
      </c>
    </row>
    <row r="33" spans="1:4">
      <c r="A33" s="10" t="s">
        <v>25</v>
      </c>
      <c r="B33" s="145"/>
      <c r="C33" s="145"/>
      <c r="D33" s="145"/>
    </row>
    <row r="34" spans="1:4" ht="17.25" customHeight="1">
      <c r="A34" s="10" t="s">
        <v>10</v>
      </c>
      <c r="B34" s="145">
        <v>8.1999999999999993</v>
      </c>
      <c r="C34" s="145">
        <v>5</v>
      </c>
      <c r="D34" s="145"/>
    </row>
    <row r="35" spans="1:4">
      <c r="A35" s="10" t="s">
        <v>11</v>
      </c>
      <c r="B35" s="145">
        <v>11.5</v>
      </c>
      <c r="C35" s="145">
        <v>14.2</v>
      </c>
      <c r="D35" s="145"/>
    </row>
    <row r="36" spans="1:4">
      <c r="A36" s="10" t="s">
        <v>12</v>
      </c>
      <c r="B36" s="145">
        <v>35.200000000000003</v>
      </c>
      <c r="C36" s="145">
        <v>50.2</v>
      </c>
      <c r="D36" s="145"/>
    </row>
    <row r="37" spans="1:4">
      <c r="A37" s="10" t="s">
        <v>28</v>
      </c>
      <c r="B37" s="145"/>
      <c r="C37" s="145">
        <v>28.1</v>
      </c>
      <c r="D37" s="145"/>
    </row>
    <row r="38" spans="1:4" ht="31.5">
      <c r="A38" s="10" t="s">
        <v>13</v>
      </c>
      <c r="B38" s="145">
        <v>15</v>
      </c>
      <c r="C38" s="145">
        <v>15</v>
      </c>
      <c r="D38" s="145"/>
    </row>
    <row r="39" spans="1:4">
      <c r="A39" s="10" t="s">
        <v>14</v>
      </c>
      <c r="B39" s="145"/>
      <c r="C39" s="145"/>
      <c r="D39" s="145"/>
    </row>
    <row r="40" spans="1:4">
      <c r="A40" s="10" t="s">
        <v>31</v>
      </c>
      <c r="B40" s="145"/>
      <c r="C40" s="145"/>
      <c r="D40" s="145"/>
    </row>
    <row r="41" spans="1:4">
      <c r="A41" s="10" t="s">
        <v>76</v>
      </c>
      <c r="B41" s="145"/>
      <c r="C41" s="145"/>
      <c r="D41" s="145"/>
    </row>
    <row r="42" spans="1:4">
      <c r="A42" s="10" t="s">
        <v>15</v>
      </c>
      <c r="B42" s="145"/>
      <c r="C42" s="145"/>
      <c r="D42" s="145"/>
    </row>
    <row r="43" spans="1:4">
      <c r="A43" s="10" t="s">
        <v>16</v>
      </c>
      <c r="B43" s="145"/>
      <c r="C43" s="145"/>
      <c r="D43" s="145"/>
    </row>
    <row r="44" spans="1:4">
      <c r="A44" s="10" t="s">
        <v>17</v>
      </c>
      <c r="B44" s="145">
        <v>19</v>
      </c>
      <c r="C44" s="145">
        <v>21.5</v>
      </c>
      <c r="D44" s="145"/>
    </row>
    <row r="45" spans="1:4">
      <c r="A45" s="10" t="s">
        <v>77</v>
      </c>
      <c r="B45" s="145"/>
      <c r="C45" s="145"/>
      <c r="D45" s="145"/>
    </row>
    <row r="46" spans="1:4">
      <c r="A46" s="10" t="s">
        <v>22</v>
      </c>
      <c r="B46" s="145"/>
      <c r="C46" s="145"/>
      <c r="D46" s="145"/>
    </row>
    <row r="47" spans="1:4">
      <c r="A47" s="10" t="s">
        <v>19</v>
      </c>
      <c r="B47" s="145"/>
      <c r="C47" s="145"/>
      <c r="D47" s="145"/>
    </row>
    <row r="48" spans="1:4">
      <c r="A48" s="10" t="s">
        <v>20</v>
      </c>
      <c r="B48" s="145">
        <v>5</v>
      </c>
      <c r="C48" s="145">
        <v>10</v>
      </c>
      <c r="D48" s="145"/>
    </row>
    <row r="49" spans="1:4" ht="15.75" customHeight="1">
      <c r="A49" s="10" t="s">
        <v>23</v>
      </c>
      <c r="B49" s="145"/>
      <c r="C49" s="145"/>
      <c r="D49" s="145"/>
    </row>
    <row r="50" spans="1:4">
      <c r="A50" s="10" t="s">
        <v>18</v>
      </c>
      <c r="B50" s="145"/>
      <c r="C50" s="145"/>
      <c r="D50" s="145"/>
    </row>
    <row r="51" spans="1:4">
      <c r="A51" s="10" t="s">
        <v>38</v>
      </c>
      <c r="B51" s="145"/>
      <c r="C51" s="145"/>
      <c r="D51" s="145"/>
    </row>
    <row r="52" spans="1:4" ht="31.5">
      <c r="A52" s="10" t="s">
        <v>32</v>
      </c>
      <c r="B52" s="145"/>
      <c r="C52" s="145"/>
      <c r="D52" s="145"/>
    </row>
    <row r="53" spans="1:4">
      <c r="A53" s="10" t="s">
        <v>39</v>
      </c>
      <c r="B53" s="145"/>
      <c r="C53" s="145"/>
      <c r="D53" s="145"/>
    </row>
    <row r="54" spans="1:4">
      <c r="A54" s="10" t="s">
        <v>33</v>
      </c>
      <c r="B54" s="145"/>
      <c r="C54" s="145"/>
      <c r="D54" s="145"/>
    </row>
    <row r="55" spans="1:4">
      <c r="A55" s="10" t="s">
        <v>34</v>
      </c>
      <c r="B55" s="145"/>
      <c r="C55" s="145"/>
      <c r="D55" s="145"/>
    </row>
    <row r="56" spans="1:4">
      <c r="A56" s="10" t="s">
        <v>37</v>
      </c>
      <c r="B56" s="145"/>
      <c r="C56" s="145"/>
      <c r="D56" s="145"/>
    </row>
    <row r="57" spans="1:4" ht="31.5">
      <c r="A57" s="10" t="s">
        <v>35</v>
      </c>
      <c r="B57" s="145"/>
      <c r="C57" s="145"/>
      <c r="D57" s="145"/>
    </row>
    <row r="58" spans="1:4">
      <c r="A58" s="10" t="s">
        <v>36</v>
      </c>
      <c r="B58" s="145"/>
      <c r="C58" s="145"/>
      <c r="D58" s="145"/>
    </row>
    <row r="59" spans="1:4">
      <c r="A59" s="10" t="s">
        <v>30</v>
      </c>
      <c r="B59" s="145">
        <v>1.5</v>
      </c>
      <c r="C59" s="145">
        <v>4</v>
      </c>
      <c r="D59" s="145">
        <v>4</v>
      </c>
    </row>
    <row r="60" spans="1:4">
      <c r="A60" s="10" t="s">
        <v>78</v>
      </c>
      <c r="B60" s="145">
        <v>42.5</v>
      </c>
      <c r="C60" s="145">
        <v>12</v>
      </c>
      <c r="D60" s="145"/>
    </row>
    <row r="61" spans="1:4">
      <c r="A61" s="10" t="s">
        <v>21</v>
      </c>
      <c r="B61" s="145">
        <v>162.69999999999999</v>
      </c>
      <c r="C61" s="145"/>
      <c r="D61" s="145"/>
    </row>
    <row r="62" spans="1:4">
      <c r="A62" s="29" t="s">
        <v>79</v>
      </c>
      <c r="B62" s="14">
        <f t="shared" ref="B62:D62" si="3">SUM(B63:B70)</f>
        <v>20</v>
      </c>
      <c r="C62" s="14">
        <f t="shared" si="3"/>
        <v>48.1</v>
      </c>
      <c r="D62" s="14">
        <f t="shared" si="3"/>
        <v>20</v>
      </c>
    </row>
    <row r="63" spans="1:4" s="30" customFormat="1">
      <c r="A63" s="10" t="s">
        <v>80</v>
      </c>
      <c r="B63" s="147"/>
      <c r="C63" s="147">
        <v>8.1</v>
      </c>
      <c r="D63" s="147"/>
    </row>
    <row r="64" spans="1:4">
      <c r="A64" s="10" t="s">
        <v>81</v>
      </c>
      <c r="B64" s="145"/>
      <c r="C64" s="145"/>
      <c r="D64" s="145"/>
    </row>
    <row r="65" spans="1:4">
      <c r="A65" s="10" t="s">
        <v>15</v>
      </c>
      <c r="B65" s="145"/>
      <c r="C65" s="145"/>
      <c r="D65" s="145"/>
    </row>
    <row r="66" spans="1:4">
      <c r="A66" s="10" t="s">
        <v>82</v>
      </c>
      <c r="B66" s="145">
        <v>20</v>
      </c>
      <c r="C66" s="145">
        <v>20</v>
      </c>
      <c r="D66" s="145"/>
    </row>
    <row r="67" spans="1:4">
      <c r="A67" s="10" t="s">
        <v>83</v>
      </c>
      <c r="B67" s="145"/>
      <c r="C67" s="145"/>
      <c r="D67" s="145"/>
    </row>
    <row r="68" spans="1:4">
      <c r="A68" s="10" t="s">
        <v>84</v>
      </c>
      <c r="B68" s="145"/>
      <c r="C68" s="145">
        <v>20</v>
      </c>
      <c r="D68" s="145">
        <v>20</v>
      </c>
    </row>
    <row r="69" spans="1:4">
      <c r="A69" s="10" t="s">
        <v>85</v>
      </c>
      <c r="B69" s="145"/>
      <c r="C69" s="145"/>
      <c r="D69" s="145"/>
    </row>
    <row r="70" spans="1:4">
      <c r="A70" s="10" t="s">
        <v>86</v>
      </c>
      <c r="B70" s="145"/>
      <c r="C70" s="145"/>
      <c r="D70" s="145"/>
    </row>
    <row r="71" spans="1:4">
      <c r="A71" s="29" t="s">
        <v>87</v>
      </c>
      <c r="B71" s="14">
        <f t="shared" ref="B71:D71" si="4">SUM(B72:B74)</f>
        <v>0</v>
      </c>
      <c r="C71" s="14">
        <f t="shared" si="4"/>
        <v>0</v>
      </c>
      <c r="D71" s="14">
        <f t="shared" si="4"/>
        <v>0</v>
      </c>
    </row>
    <row r="72" spans="1:4" ht="31.5">
      <c r="A72" s="10" t="s">
        <v>88</v>
      </c>
      <c r="B72" s="145"/>
      <c r="C72" s="145"/>
      <c r="D72" s="145"/>
    </row>
    <row r="73" spans="1:4">
      <c r="A73" s="10" t="s">
        <v>89</v>
      </c>
      <c r="B73" s="145"/>
      <c r="C73" s="145"/>
      <c r="D73" s="145"/>
    </row>
    <row r="74" spans="1:4">
      <c r="A74" s="10" t="s">
        <v>90</v>
      </c>
      <c r="B74" s="145"/>
      <c r="C74" s="145"/>
      <c r="D74" s="145"/>
    </row>
    <row r="75" spans="1:4">
      <c r="A75" s="29" t="s">
        <v>91</v>
      </c>
      <c r="B75" s="54">
        <f t="shared" ref="B75:D75" si="5">SUM(B76:B87)</f>
        <v>239.8</v>
      </c>
      <c r="C75" s="54">
        <f t="shared" si="5"/>
        <v>233.8</v>
      </c>
      <c r="D75" s="54">
        <f t="shared" si="5"/>
        <v>0</v>
      </c>
    </row>
    <row r="76" spans="1:4">
      <c r="A76" s="9" t="s">
        <v>92</v>
      </c>
      <c r="B76" s="57">
        <v>40</v>
      </c>
      <c r="C76" s="57">
        <v>26.3</v>
      </c>
      <c r="D76" s="92"/>
    </row>
    <row r="77" spans="1:4">
      <c r="A77" s="9" t="s">
        <v>0</v>
      </c>
      <c r="B77" s="57">
        <v>9.6999999999999993</v>
      </c>
      <c r="C77" s="57">
        <v>3.3</v>
      </c>
      <c r="D77" s="145"/>
    </row>
    <row r="78" spans="1:4">
      <c r="A78" s="9" t="s">
        <v>1</v>
      </c>
      <c r="B78" s="57">
        <v>69.099999999999994</v>
      </c>
      <c r="C78" s="57">
        <v>50.6</v>
      </c>
      <c r="D78" s="145"/>
    </row>
    <row r="79" spans="1:4">
      <c r="A79" s="9" t="s">
        <v>93</v>
      </c>
      <c r="B79" s="57">
        <v>12.6</v>
      </c>
      <c r="C79" s="57"/>
      <c r="D79" s="145"/>
    </row>
    <row r="80" spans="1:4">
      <c r="A80" s="9" t="s">
        <v>26</v>
      </c>
      <c r="B80" s="57"/>
      <c r="C80" s="57"/>
      <c r="D80" s="145"/>
    </row>
    <row r="81" spans="1:4">
      <c r="A81" s="9" t="s">
        <v>2</v>
      </c>
      <c r="B81" s="57">
        <v>52.1</v>
      </c>
      <c r="C81" s="57">
        <v>87.7</v>
      </c>
      <c r="D81" s="145"/>
    </row>
    <row r="82" spans="1:4">
      <c r="A82" s="9" t="s">
        <v>94</v>
      </c>
      <c r="B82" s="57">
        <v>14</v>
      </c>
      <c r="C82" s="57">
        <v>0</v>
      </c>
      <c r="D82" s="145"/>
    </row>
    <row r="83" spans="1:4">
      <c r="A83" s="9" t="s">
        <v>95</v>
      </c>
      <c r="B83" s="57">
        <v>42.3</v>
      </c>
      <c r="C83" s="58">
        <v>65.900000000000006</v>
      </c>
      <c r="D83" s="145"/>
    </row>
    <row r="84" spans="1:4">
      <c r="A84" s="8" t="s">
        <v>96</v>
      </c>
      <c r="B84" s="57"/>
      <c r="C84" s="58"/>
      <c r="D84" s="145"/>
    </row>
    <row r="85" spans="1:4" ht="15.75" customHeight="1">
      <c r="A85" s="10" t="s">
        <v>97</v>
      </c>
      <c r="B85" s="57"/>
      <c r="C85" s="57"/>
      <c r="D85" s="57"/>
    </row>
    <row r="86" spans="1:4">
      <c r="A86" s="10" t="s">
        <v>98</v>
      </c>
      <c r="B86" s="57"/>
      <c r="C86" s="57"/>
      <c r="D86" s="57"/>
    </row>
    <row r="87" spans="1:4">
      <c r="A87" s="10" t="s">
        <v>99</v>
      </c>
      <c r="B87" s="57"/>
      <c r="C87" s="57"/>
      <c r="D87" s="57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>
    <tabColor rgb="FFFFFF00"/>
  </sheetPr>
  <dimension ref="A1:D199"/>
  <sheetViews>
    <sheetView topLeftCell="A34" workbookViewId="0">
      <selection activeCell="D40" sqref="D40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 ht="15.75" customHeight="1">
      <c r="A4" s="191" t="s">
        <v>65</v>
      </c>
      <c r="B4" s="191"/>
      <c r="C4" s="191"/>
      <c r="D4" s="191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90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4" ht="20.25" customHeight="1">
      <c r="A8" s="3">
        <v>1</v>
      </c>
      <c r="B8" s="3">
        <v>2</v>
      </c>
      <c r="C8" s="3">
        <v>3</v>
      </c>
      <c r="D8" s="95">
        <v>4</v>
      </c>
    </row>
    <row r="9" spans="1:4" ht="25.5">
      <c r="A9" s="7" t="s">
        <v>68</v>
      </c>
      <c r="B9" s="144">
        <f>B15+B28+B62+B75+B10</f>
        <v>2147.6</v>
      </c>
      <c r="C9" s="144">
        <f>C15+C28+C62+C75+C10</f>
        <v>1322.1000000000001</v>
      </c>
      <c r="D9" s="144">
        <f>D15+D28+D62+D75+D10</f>
        <v>175.5</v>
      </c>
    </row>
    <row r="10" spans="1:4">
      <c r="A10" s="7" t="s">
        <v>69</v>
      </c>
      <c r="B10" s="144">
        <f>B14</f>
        <v>25.6</v>
      </c>
      <c r="C10" s="144">
        <f>C14</f>
        <v>0</v>
      </c>
      <c r="D10" s="144">
        <f>D14</f>
        <v>0</v>
      </c>
    </row>
    <row r="11" spans="1:4">
      <c r="A11" s="9" t="s">
        <v>70</v>
      </c>
      <c r="B11" s="145"/>
      <c r="C11" s="145"/>
      <c r="D11" s="145"/>
    </row>
    <row r="12" spans="1:4">
      <c r="A12" s="9" t="s">
        <v>27</v>
      </c>
      <c r="B12" s="145"/>
      <c r="C12" s="145"/>
      <c r="D12" s="145"/>
    </row>
    <row r="13" spans="1:4">
      <c r="A13" s="9" t="s">
        <v>71</v>
      </c>
      <c r="B13" s="145"/>
      <c r="C13" s="145"/>
      <c r="D13" s="145"/>
    </row>
    <row r="14" spans="1:4">
      <c r="A14" s="9" t="s">
        <v>5</v>
      </c>
      <c r="B14" s="145">
        <v>25.6</v>
      </c>
      <c r="C14" s="145">
        <v>0</v>
      </c>
      <c r="D14" s="145">
        <v>0</v>
      </c>
    </row>
    <row r="15" spans="1:4">
      <c r="A15" s="8" t="s">
        <v>72</v>
      </c>
      <c r="B15" s="27">
        <f>B16+B23+B27</f>
        <v>115.8</v>
      </c>
      <c r="C15" s="27">
        <f>C16+C23+C27</f>
        <v>119.8</v>
      </c>
      <c r="D15" s="27">
        <f>D16+D23+D27</f>
        <v>7</v>
      </c>
    </row>
    <row r="16" spans="1:4" s="6" customFormat="1" ht="31.5">
      <c r="A16" s="9" t="s">
        <v>40</v>
      </c>
      <c r="B16" s="145">
        <v>100.8</v>
      </c>
      <c r="C16" s="145">
        <f>4.8+96</f>
        <v>100.8</v>
      </c>
      <c r="D16" s="145">
        <v>7</v>
      </c>
    </row>
    <row r="17" spans="1:4" s="6" customFormat="1">
      <c r="A17" s="9" t="s">
        <v>41</v>
      </c>
      <c r="B17" s="27"/>
      <c r="C17" s="27"/>
      <c r="D17" s="27"/>
    </row>
    <row r="18" spans="1:4" ht="18.75" customHeight="1">
      <c r="A18" s="9" t="s">
        <v>6</v>
      </c>
      <c r="B18" s="145"/>
      <c r="C18" s="145"/>
      <c r="D18" s="145"/>
    </row>
    <row r="19" spans="1:4">
      <c r="A19" s="9" t="s">
        <v>29</v>
      </c>
      <c r="B19" s="145"/>
      <c r="C19" s="145"/>
      <c r="D19" s="145"/>
    </row>
    <row r="20" spans="1:4">
      <c r="A20" s="9" t="s">
        <v>15</v>
      </c>
      <c r="B20" s="145"/>
      <c r="C20" s="145"/>
      <c r="D20" s="145"/>
    </row>
    <row r="21" spans="1:4" ht="31.5">
      <c r="A21" s="10" t="s">
        <v>7</v>
      </c>
      <c r="B21" s="145"/>
      <c r="C21" s="145"/>
      <c r="D21" s="145"/>
    </row>
    <row r="22" spans="1:4">
      <c r="A22" s="10" t="s">
        <v>8</v>
      </c>
      <c r="B22" s="145"/>
      <c r="C22" s="145"/>
      <c r="D22" s="145"/>
    </row>
    <row r="23" spans="1:4">
      <c r="A23" s="10" t="s">
        <v>73</v>
      </c>
      <c r="B23" s="145">
        <v>11.7</v>
      </c>
      <c r="C23" s="145">
        <v>17.2</v>
      </c>
      <c r="D23" s="145"/>
    </row>
    <row r="24" spans="1:4">
      <c r="A24" s="10" t="s">
        <v>74</v>
      </c>
      <c r="B24" s="145"/>
      <c r="C24" s="145"/>
      <c r="D24" s="145"/>
    </row>
    <row r="25" spans="1:4">
      <c r="A25" s="10" t="s">
        <v>4</v>
      </c>
      <c r="B25" s="145"/>
      <c r="C25" s="145"/>
      <c r="D25" s="145"/>
    </row>
    <row r="26" spans="1:4">
      <c r="A26" s="10" t="s">
        <v>45</v>
      </c>
      <c r="B26" s="145"/>
      <c r="C26" s="145"/>
      <c r="D26" s="145"/>
    </row>
    <row r="27" spans="1:4">
      <c r="A27" s="11" t="s">
        <v>3</v>
      </c>
      <c r="B27" s="145">
        <v>3.3</v>
      </c>
      <c r="C27" s="145">
        <v>1.8</v>
      </c>
      <c r="D27" s="145"/>
    </row>
    <row r="28" spans="1:4">
      <c r="A28" s="28" t="s">
        <v>75</v>
      </c>
      <c r="B28" s="27">
        <f>B30+B34+B35+B36+B37+B59+B60+B61+B44+B46</f>
        <v>1292.9000000000001</v>
      </c>
      <c r="C28" s="27">
        <f>C30+C34+C35+C36+C37+C44+C46+C59+C60+C61</f>
        <v>996.1</v>
      </c>
      <c r="D28" s="27">
        <f>D30+D34+D35+D36+D37+D59+D60+D61+D44+D46</f>
        <v>163.6</v>
      </c>
    </row>
    <row r="29" spans="1:4" s="6" customFormat="1" ht="31.5">
      <c r="A29" s="10" t="s">
        <v>40</v>
      </c>
      <c r="B29" s="27"/>
      <c r="C29" s="27"/>
      <c r="D29" s="27"/>
    </row>
    <row r="30" spans="1:4" s="6" customFormat="1">
      <c r="A30" s="10" t="s">
        <v>41</v>
      </c>
      <c r="B30" s="27"/>
      <c r="C30" s="145">
        <v>0</v>
      </c>
      <c r="D30" s="27"/>
    </row>
    <row r="31" spans="1:4">
      <c r="A31" s="10" t="s">
        <v>24</v>
      </c>
      <c r="B31" s="145"/>
      <c r="C31" s="145"/>
      <c r="D31" s="145"/>
    </row>
    <row r="32" spans="1:4">
      <c r="A32" s="10" t="s">
        <v>9</v>
      </c>
      <c r="B32" s="145"/>
      <c r="C32" s="145"/>
      <c r="D32" s="145"/>
    </row>
    <row r="33" spans="1:4">
      <c r="A33" s="10" t="s">
        <v>25</v>
      </c>
      <c r="B33" s="145"/>
      <c r="C33" s="145"/>
      <c r="D33" s="145"/>
    </row>
    <row r="34" spans="1:4" ht="17.25" customHeight="1">
      <c r="A34" s="10" t="s">
        <v>10</v>
      </c>
      <c r="B34" s="145">
        <v>3.2</v>
      </c>
      <c r="C34" s="145">
        <v>3.3</v>
      </c>
      <c r="D34" s="145"/>
    </row>
    <row r="35" spans="1:4">
      <c r="A35" s="10" t="s">
        <v>11</v>
      </c>
      <c r="B35" s="145">
        <f>5.2+4</f>
        <v>9.1999999999999993</v>
      </c>
      <c r="C35" s="145">
        <v>10.8</v>
      </c>
      <c r="D35" s="145"/>
    </row>
    <row r="36" spans="1:4">
      <c r="A36" s="10" t="s">
        <v>12</v>
      </c>
      <c r="B36" s="145">
        <v>2.5</v>
      </c>
      <c r="C36" s="145">
        <v>5</v>
      </c>
      <c r="D36" s="145"/>
    </row>
    <row r="37" spans="1:4">
      <c r="A37" s="10" t="s">
        <v>28</v>
      </c>
      <c r="B37" s="145">
        <v>9.1</v>
      </c>
      <c r="C37" s="145">
        <v>9.1</v>
      </c>
      <c r="D37" s="145"/>
    </row>
    <row r="38" spans="1:4" ht="31.5">
      <c r="A38" s="10" t="s">
        <v>13</v>
      </c>
      <c r="B38" s="145"/>
      <c r="C38" s="145"/>
      <c r="D38" s="145"/>
    </row>
    <row r="39" spans="1:4">
      <c r="A39" s="10" t="s">
        <v>14</v>
      </c>
      <c r="B39" s="145"/>
      <c r="C39" s="145"/>
      <c r="D39" s="145"/>
    </row>
    <row r="40" spans="1:4">
      <c r="A40" s="10" t="s">
        <v>31</v>
      </c>
      <c r="B40" s="145"/>
      <c r="C40" s="145"/>
      <c r="D40" s="145"/>
    </row>
    <row r="41" spans="1:4">
      <c r="A41" s="10" t="s">
        <v>76</v>
      </c>
      <c r="B41" s="145"/>
      <c r="C41" s="145"/>
      <c r="D41" s="145"/>
    </row>
    <row r="42" spans="1:4">
      <c r="A42" s="10" t="s">
        <v>15</v>
      </c>
      <c r="B42" s="145"/>
      <c r="C42" s="145"/>
      <c r="D42" s="145"/>
    </row>
    <row r="43" spans="1:4">
      <c r="A43" s="10" t="s">
        <v>16</v>
      </c>
      <c r="B43" s="145"/>
      <c r="C43" s="145"/>
      <c r="D43" s="145"/>
    </row>
    <row r="44" spans="1:4">
      <c r="A44" s="10" t="s">
        <v>17</v>
      </c>
      <c r="B44" s="145">
        <f>14+3+3+15</f>
        <v>35</v>
      </c>
      <c r="C44" s="145">
        <v>7</v>
      </c>
      <c r="D44" s="145">
        <v>7</v>
      </c>
    </row>
    <row r="45" spans="1:4">
      <c r="A45" s="10" t="s">
        <v>77</v>
      </c>
      <c r="B45" s="145"/>
      <c r="C45" s="145"/>
      <c r="D45" s="145"/>
    </row>
    <row r="46" spans="1:4">
      <c r="A46" s="10" t="s">
        <v>22</v>
      </c>
      <c r="B46" s="145"/>
      <c r="C46" s="145">
        <f>14-14</f>
        <v>0</v>
      </c>
      <c r="D46" s="145"/>
    </row>
    <row r="47" spans="1:4">
      <c r="A47" s="10" t="s">
        <v>19</v>
      </c>
      <c r="B47" s="145"/>
      <c r="C47" s="145"/>
      <c r="D47" s="145"/>
    </row>
    <row r="48" spans="1:4">
      <c r="A48" s="10" t="s">
        <v>20</v>
      </c>
      <c r="B48" s="145"/>
      <c r="C48" s="145"/>
      <c r="D48" s="145"/>
    </row>
    <row r="49" spans="1:4" ht="15.75" customHeight="1">
      <c r="A49" s="10" t="s">
        <v>23</v>
      </c>
      <c r="B49" s="145"/>
      <c r="C49" s="145"/>
      <c r="D49" s="145"/>
    </row>
    <row r="50" spans="1:4">
      <c r="A50" s="10" t="s">
        <v>18</v>
      </c>
      <c r="B50" s="145"/>
      <c r="C50" s="145"/>
      <c r="D50" s="145"/>
    </row>
    <row r="51" spans="1:4">
      <c r="A51" s="10" t="s">
        <v>38</v>
      </c>
      <c r="B51" s="145"/>
      <c r="C51" s="145"/>
      <c r="D51" s="145"/>
    </row>
    <row r="52" spans="1:4" ht="31.5">
      <c r="A52" s="10" t="s">
        <v>32</v>
      </c>
      <c r="B52" s="145"/>
      <c r="C52" s="145"/>
      <c r="D52" s="145"/>
    </row>
    <row r="53" spans="1:4">
      <c r="A53" s="10" t="s">
        <v>39</v>
      </c>
      <c r="B53" s="145"/>
      <c r="C53" s="145"/>
      <c r="D53" s="145"/>
    </row>
    <row r="54" spans="1:4">
      <c r="A54" s="10" t="s">
        <v>33</v>
      </c>
      <c r="B54" s="145"/>
      <c r="C54" s="145"/>
      <c r="D54" s="145"/>
    </row>
    <row r="55" spans="1:4">
      <c r="A55" s="10" t="s">
        <v>34</v>
      </c>
      <c r="B55" s="145"/>
      <c r="C55" s="145"/>
      <c r="D55" s="145"/>
    </row>
    <row r="56" spans="1:4">
      <c r="A56" s="10" t="s">
        <v>37</v>
      </c>
      <c r="B56" s="145"/>
      <c r="C56" s="145"/>
      <c r="D56" s="145"/>
    </row>
    <row r="57" spans="1:4" ht="31.5">
      <c r="A57" s="10" t="s">
        <v>35</v>
      </c>
      <c r="B57" s="145"/>
      <c r="C57" s="145"/>
      <c r="D57" s="145"/>
    </row>
    <row r="58" spans="1:4">
      <c r="A58" s="10" t="s">
        <v>36</v>
      </c>
      <c r="B58" s="145"/>
      <c r="C58" s="145"/>
      <c r="D58" s="145"/>
    </row>
    <row r="59" spans="1:4">
      <c r="A59" s="10" t="s">
        <v>30</v>
      </c>
      <c r="B59" s="145"/>
      <c r="C59" s="145"/>
      <c r="D59" s="145"/>
    </row>
    <row r="60" spans="1:4">
      <c r="A60" s="10" t="s">
        <v>78</v>
      </c>
      <c r="B60" s="145"/>
      <c r="C60" s="145">
        <v>0</v>
      </c>
      <c r="D60" s="145"/>
    </row>
    <row r="61" spans="1:4">
      <c r="A61" s="10" t="s">
        <v>21</v>
      </c>
      <c r="B61" s="145">
        <v>1233.9000000000001</v>
      </c>
      <c r="C61" s="145">
        <f>964.8-3.9</f>
        <v>960.9</v>
      </c>
      <c r="D61" s="145">
        <v>156.6</v>
      </c>
    </row>
    <row r="62" spans="1:4">
      <c r="A62" s="29" t="s">
        <v>79</v>
      </c>
      <c r="B62" s="27">
        <f>B66+B64+B68</f>
        <v>20.399999999999999</v>
      </c>
      <c r="C62" s="27">
        <f>C66+C64+C68</f>
        <v>20</v>
      </c>
      <c r="D62" s="27"/>
    </row>
    <row r="63" spans="1:4" s="30" customFormat="1">
      <c r="A63" s="10" t="s">
        <v>80</v>
      </c>
      <c r="B63" s="147"/>
      <c r="C63" s="147"/>
      <c r="D63" s="147"/>
    </row>
    <row r="64" spans="1:4">
      <c r="A64" s="10" t="s">
        <v>81</v>
      </c>
      <c r="B64" s="145"/>
      <c r="C64" s="145">
        <v>0</v>
      </c>
      <c r="D64" s="145"/>
    </row>
    <row r="65" spans="1:4">
      <c r="A65" s="10" t="s">
        <v>15</v>
      </c>
      <c r="B65" s="145"/>
      <c r="C65" s="145"/>
      <c r="D65" s="145"/>
    </row>
    <row r="66" spans="1:4">
      <c r="A66" s="10" t="s">
        <v>82</v>
      </c>
      <c r="B66" s="145">
        <v>20</v>
      </c>
      <c r="C66" s="145">
        <v>20</v>
      </c>
      <c r="D66" s="145"/>
    </row>
    <row r="67" spans="1:4">
      <c r="A67" s="10" t="s">
        <v>83</v>
      </c>
      <c r="B67" s="145"/>
      <c r="C67" s="145"/>
      <c r="D67" s="145"/>
    </row>
    <row r="68" spans="1:4">
      <c r="A68" s="10" t="s">
        <v>84</v>
      </c>
      <c r="B68" s="145">
        <v>0.4</v>
      </c>
      <c r="C68" s="145">
        <v>0</v>
      </c>
      <c r="D68" s="145"/>
    </row>
    <row r="69" spans="1:4">
      <c r="A69" s="10" t="s">
        <v>85</v>
      </c>
      <c r="B69" s="145"/>
      <c r="C69" s="145"/>
      <c r="D69" s="145"/>
    </row>
    <row r="70" spans="1:4">
      <c r="A70" s="10" t="s">
        <v>86</v>
      </c>
      <c r="B70" s="145"/>
      <c r="C70" s="145"/>
      <c r="D70" s="145"/>
    </row>
    <row r="71" spans="1:4">
      <c r="A71" s="29" t="s">
        <v>87</v>
      </c>
      <c r="B71" s="145"/>
      <c r="C71" s="145"/>
      <c r="D71" s="145"/>
    </row>
    <row r="72" spans="1:4" ht="31.5">
      <c r="A72" s="10" t="s">
        <v>88</v>
      </c>
      <c r="B72" s="145"/>
      <c r="C72" s="145"/>
      <c r="D72" s="145"/>
    </row>
    <row r="73" spans="1:4">
      <c r="A73" s="10" t="s">
        <v>89</v>
      </c>
      <c r="B73" s="145"/>
      <c r="C73" s="145"/>
      <c r="D73" s="145"/>
    </row>
    <row r="74" spans="1:4">
      <c r="A74" s="10" t="s">
        <v>90</v>
      </c>
      <c r="B74" s="145"/>
      <c r="C74" s="145"/>
      <c r="D74" s="145"/>
    </row>
    <row r="75" spans="1:4">
      <c r="A75" s="29" t="s">
        <v>91</v>
      </c>
      <c r="B75" s="27">
        <f>B77+B78+B81+B82+B83+B76</f>
        <v>692.90000000000009</v>
      </c>
      <c r="C75" s="27">
        <f>C77+C78+C81+C82+C83+C76</f>
        <v>186.2</v>
      </c>
      <c r="D75" s="27">
        <f>D77+D78+D81+D82+D83+D76</f>
        <v>4.9000000000000004</v>
      </c>
    </row>
    <row r="76" spans="1:4">
      <c r="A76" s="9" t="s">
        <v>92</v>
      </c>
      <c r="B76" s="145">
        <v>9.1999999999999993</v>
      </c>
      <c r="C76" s="145">
        <v>40</v>
      </c>
      <c r="D76" s="145"/>
    </row>
    <row r="77" spans="1:4">
      <c r="A77" s="9" t="s">
        <v>0</v>
      </c>
      <c r="B77" s="145">
        <v>20.399999999999999</v>
      </c>
      <c r="C77" s="145">
        <v>2</v>
      </c>
      <c r="D77" s="145"/>
    </row>
    <row r="78" spans="1:4">
      <c r="A78" s="9" t="s">
        <v>1</v>
      </c>
      <c r="B78" s="145">
        <v>54.5</v>
      </c>
      <c r="C78" s="145">
        <v>49.5</v>
      </c>
      <c r="D78" s="145"/>
    </row>
    <row r="79" spans="1:4">
      <c r="A79" s="9" t="s">
        <v>93</v>
      </c>
      <c r="B79" s="145"/>
      <c r="C79" s="145"/>
      <c r="D79" s="145"/>
    </row>
    <row r="80" spans="1:4">
      <c r="A80" s="9" t="s">
        <v>26</v>
      </c>
      <c r="B80" s="145"/>
      <c r="C80" s="145"/>
      <c r="D80" s="145"/>
    </row>
    <row r="81" spans="1:4">
      <c r="A81" s="9" t="s">
        <v>2</v>
      </c>
      <c r="B81" s="145">
        <v>161.4</v>
      </c>
      <c r="C81" s="145">
        <v>27.8</v>
      </c>
      <c r="D81" s="145"/>
    </row>
    <row r="82" spans="1:4">
      <c r="A82" s="9" t="s">
        <v>94</v>
      </c>
      <c r="B82" s="145">
        <v>6.5</v>
      </c>
      <c r="C82" s="145">
        <v>10</v>
      </c>
      <c r="D82" s="145"/>
    </row>
    <row r="83" spans="1:4">
      <c r="A83" s="9" t="s">
        <v>95</v>
      </c>
      <c r="B83" s="145">
        <v>440.9</v>
      </c>
      <c r="C83" s="146">
        <f>52+4.9</f>
        <v>56.9</v>
      </c>
      <c r="D83" s="145">
        <v>4.9000000000000004</v>
      </c>
    </row>
    <row r="84" spans="1:4">
      <c r="A84" s="8" t="s">
        <v>96</v>
      </c>
      <c r="B84" s="145" t="s">
        <v>109</v>
      </c>
      <c r="C84" s="146"/>
      <c r="D84" s="145" t="s">
        <v>109</v>
      </c>
    </row>
    <row r="85" spans="1:4" ht="15.75" customHeight="1">
      <c r="A85" s="10" t="s">
        <v>97</v>
      </c>
      <c r="B85" s="145"/>
      <c r="C85" s="145"/>
      <c r="D85" s="145"/>
    </row>
    <row r="86" spans="1:4">
      <c r="A86" s="10" t="s">
        <v>98</v>
      </c>
      <c r="B86" s="145"/>
      <c r="C86" s="145"/>
      <c r="D86" s="145"/>
    </row>
    <row r="87" spans="1:4">
      <c r="A87" s="10" t="s">
        <v>99</v>
      </c>
      <c r="B87" s="145"/>
      <c r="C87" s="145"/>
      <c r="D87" s="145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>
    <tabColor rgb="FFFFFF00"/>
  </sheetPr>
  <dimension ref="A1:D199"/>
  <sheetViews>
    <sheetView topLeftCell="A22" workbookViewId="0">
      <selection activeCell="D22" sqref="D12:D22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 ht="15.75" customHeight="1">
      <c r="A4" s="191" t="s">
        <v>65</v>
      </c>
      <c r="B4" s="191"/>
      <c r="C4" s="191"/>
      <c r="D4" s="191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90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4" ht="16.5" customHeight="1">
      <c r="A8" s="3">
        <v>1</v>
      </c>
      <c r="B8" s="3">
        <v>2</v>
      </c>
      <c r="C8" s="3">
        <v>3</v>
      </c>
      <c r="D8" s="95">
        <v>4</v>
      </c>
    </row>
    <row r="9" spans="1:4" ht="25.5">
      <c r="A9" s="7" t="s">
        <v>68</v>
      </c>
      <c r="B9" s="144">
        <f>SUM(B10:B87)</f>
        <v>1253.2999999999997</v>
      </c>
      <c r="C9" s="144">
        <f>SUM(C10:C87)</f>
        <v>928.9</v>
      </c>
      <c r="D9" s="144">
        <f>SUM(D10:D87)</f>
        <v>320.59999999999997</v>
      </c>
    </row>
    <row r="10" spans="1:4">
      <c r="A10" s="7" t="s">
        <v>69</v>
      </c>
      <c r="B10" s="144"/>
      <c r="C10" s="144"/>
      <c r="D10" s="144"/>
    </row>
    <row r="11" spans="1:4">
      <c r="A11" s="9" t="s">
        <v>70</v>
      </c>
      <c r="B11" s="145"/>
      <c r="C11" s="145"/>
      <c r="D11" s="145"/>
    </row>
    <row r="12" spans="1:4">
      <c r="A12" s="9" t="s">
        <v>27</v>
      </c>
      <c r="B12" s="145"/>
      <c r="C12" s="145"/>
      <c r="D12" s="145"/>
    </row>
    <row r="13" spans="1:4">
      <c r="A13" s="9" t="s">
        <v>71</v>
      </c>
      <c r="B13" s="145"/>
      <c r="C13" s="145"/>
      <c r="D13" s="145"/>
    </row>
    <row r="14" spans="1:4">
      <c r="A14" s="9" t="s">
        <v>5</v>
      </c>
      <c r="B14" s="145">
        <v>20.8</v>
      </c>
      <c r="C14" s="145">
        <v>10.4</v>
      </c>
      <c r="D14" s="145"/>
    </row>
    <row r="15" spans="1:4">
      <c r="A15" s="8" t="s">
        <v>72</v>
      </c>
      <c r="B15" s="145"/>
      <c r="C15" s="145"/>
      <c r="D15" s="145"/>
    </row>
    <row r="16" spans="1:4" s="6" customFormat="1" ht="31.5">
      <c r="A16" s="9" t="s">
        <v>40</v>
      </c>
      <c r="B16" s="27">
        <v>21.6</v>
      </c>
      <c r="C16" s="27">
        <v>25.8</v>
      </c>
      <c r="D16" s="27"/>
    </row>
    <row r="17" spans="1:4" s="6" customFormat="1">
      <c r="A17" s="9" t="s">
        <v>41</v>
      </c>
      <c r="B17" s="27">
        <v>10</v>
      </c>
      <c r="C17" s="27">
        <v>10</v>
      </c>
      <c r="D17" s="27"/>
    </row>
    <row r="18" spans="1:4" ht="18.75" customHeight="1">
      <c r="A18" s="9" t="s">
        <v>6</v>
      </c>
      <c r="B18" s="145"/>
      <c r="C18" s="145"/>
      <c r="D18" s="145"/>
    </row>
    <row r="19" spans="1:4">
      <c r="A19" s="9" t="s">
        <v>29</v>
      </c>
      <c r="B19" s="145"/>
      <c r="C19" s="145"/>
      <c r="D19" s="145"/>
    </row>
    <row r="20" spans="1:4">
      <c r="A20" s="9" t="s">
        <v>15</v>
      </c>
      <c r="B20" s="145"/>
      <c r="C20" s="145"/>
      <c r="D20" s="145"/>
    </row>
    <row r="21" spans="1:4" ht="31.5">
      <c r="A21" s="10" t="s">
        <v>7</v>
      </c>
      <c r="B21" s="145"/>
      <c r="C21" s="145"/>
      <c r="D21" s="145"/>
    </row>
    <row r="22" spans="1:4">
      <c r="A22" s="10" t="s">
        <v>8</v>
      </c>
      <c r="B22" s="145">
        <v>3.5</v>
      </c>
      <c r="C22" s="145">
        <v>3.5</v>
      </c>
      <c r="D22" s="145"/>
    </row>
    <row r="23" spans="1:4">
      <c r="A23" s="10" t="s">
        <v>73</v>
      </c>
      <c r="B23" s="145">
        <v>10.6</v>
      </c>
      <c r="C23" s="145">
        <v>13.7</v>
      </c>
      <c r="D23" s="145">
        <v>2.2999999999999998</v>
      </c>
    </row>
    <row r="24" spans="1:4">
      <c r="A24" s="10" t="s">
        <v>74</v>
      </c>
      <c r="B24" s="145"/>
      <c r="C24" s="145"/>
      <c r="D24" s="145"/>
    </row>
    <row r="25" spans="1:4">
      <c r="A25" s="10" t="s">
        <v>4</v>
      </c>
      <c r="B25" s="145"/>
      <c r="C25" s="145"/>
      <c r="D25" s="145"/>
    </row>
    <row r="26" spans="1:4">
      <c r="A26" s="10" t="s">
        <v>45</v>
      </c>
      <c r="B26" s="145"/>
      <c r="C26" s="145"/>
      <c r="D26" s="145"/>
    </row>
    <row r="27" spans="1:4">
      <c r="A27" s="11" t="s">
        <v>3</v>
      </c>
      <c r="B27" s="145">
        <v>10</v>
      </c>
      <c r="C27" s="145">
        <v>11</v>
      </c>
      <c r="D27" s="145">
        <v>0.9</v>
      </c>
    </row>
    <row r="28" spans="1:4">
      <c r="A28" s="28" t="s">
        <v>75</v>
      </c>
      <c r="B28" s="145"/>
      <c r="C28" s="145"/>
      <c r="D28" s="145"/>
    </row>
    <row r="29" spans="1:4" s="6" customFormat="1" ht="31.5">
      <c r="A29" s="10" t="s">
        <v>40</v>
      </c>
      <c r="B29" s="27"/>
      <c r="C29" s="27">
        <v>10</v>
      </c>
      <c r="D29" s="27"/>
    </row>
    <row r="30" spans="1:4" s="6" customFormat="1">
      <c r="A30" s="10" t="s">
        <v>41</v>
      </c>
      <c r="B30" s="27"/>
      <c r="C30" s="27">
        <v>1.2</v>
      </c>
      <c r="D30" s="27"/>
    </row>
    <row r="31" spans="1:4">
      <c r="A31" s="10" t="s">
        <v>24</v>
      </c>
      <c r="B31" s="145"/>
      <c r="C31" s="145"/>
      <c r="D31" s="145"/>
    </row>
    <row r="32" spans="1:4">
      <c r="A32" s="10" t="s">
        <v>9</v>
      </c>
      <c r="B32" s="145">
        <v>185.4</v>
      </c>
      <c r="C32" s="145">
        <v>194.8</v>
      </c>
      <c r="D32" s="145">
        <v>140.80000000000001</v>
      </c>
    </row>
    <row r="33" spans="1:4">
      <c r="A33" s="10" t="s">
        <v>25</v>
      </c>
      <c r="B33" s="145">
        <v>39.5</v>
      </c>
      <c r="C33" s="145">
        <v>52.7</v>
      </c>
      <c r="D33" s="145">
        <v>13.2</v>
      </c>
    </row>
    <row r="34" spans="1:4" ht="17.25" customHeight="1">
      <c r="A34" s="10" t="s">
        <v>10</v>
      </c>
      <c r="B34" s="145">
        <v>3.4</v>
      </c>
      <c r="C34" s="145">
        <v>4</v>
      </c>
      <c r="D34" s="145"/>
    </row>
    <row r="35" spans="1:4">
      <c r="A35" s="10" t="s">
        <v>11</v>
      </c>
      <c r="B35" s="145">
        <v>1.2</v>
      </c>
      <c r="C35" s="145">
        <v>1.2</v>
      </c>
      <c r="D35" s="145"/>
    </row>
    <row r="36" spans="1:4">
      <c r="A36" s="10" t="s">
        <v>12</v>
      </c>
      <c r="B36" s="145">
        <v>2.5</v>
      </c>
      <c r="C36" s="145">
        <v>3</v>
      </c>
      <c r="D36" s="145"/>
    </row>
    <row r="37" spans="1:4">
      <c r="A37" s="10" t="s">
        <v>28</v>
      </c>
      <c r="B37" s="145">
        <v>24.6</v>
      </c>
      <c r="C37" s="145">
        <v>26</v>
      </c>
      <c r="D37" s="145">
        <v>0.8</v>
      </c>
    </row>
    <row r="38" spans="1:4" ht="31.5">
      <c r="A38" s="10" t="s">
        <v>13</v>
      </c>
      <c r="B38" s="145"/>
      <c r="C38" s="145"/>
      <c r="D38" s="145"/>
    </row>
    <row r="39" spans="1:4">
      <c r="A39" s="10" t="s">
        <v>14</v>
      </c>
      <c r="B39" s="145"/>
      <c r="C39" s="145"/>
      <c r="D39" s="145"/>
    </row>
    <row r="40" spans="1:4">
      <c r="A40" s="10" t="s">
        <v>31</v>
      </c>
      <c r="B40" s="145"/>
      <c r="C40" s="145"/>
      <c r="D40" s="145"/>
    </row>
    <row r="41" spans="1:4">
      <c r="A41" s="10" t="s">
        <v>76</v>
      </c>
      <c r="B41" s="145"/>
      <c r="C41" s="145"/>
      <c r="D41" s="145"/>
    </row>
    <row r="42" spans="1:4">
      <c r="A42" s="10" t="s">
        <v>15</v>
      </c>
      <c r="B42" s="145"/>
      <c r="C42" s="145"/>
      <c r="D42" s="145"/>
    </row>
    <row r="43" spans="1:4">
      <c r="A43" s="10" t="s">
        <v>16</v>
      </c>
      <c r="B43" s="145"/>
      <c r="C43" s="145"/>
      <c r="D43" s="145"/>
    </row>
    <row r="44" spans="1:4">
      <c r="A44" s="10" t="s">
        <v>17</v>
      </c>
      <c r="B44" s="145">
        <v>10.199999999999999</v>
      </c>
      <c r="C44" s="145">
        <v>8</v>
      </c>
      <c r="D44" s="145"/>
    </row>
    <row r="45" spans="1:4">
      <c r="A45" s="10" t="s">
        <v>77</v>
      </c>
      <c r="B45" s="145"/>
      <c r="C45" s="145"/>
      <c r="D45" s="145"/>
    </row>
    <row r="46" spans="1:4">
      <c r="A46" s="10" t="s">
        <v>22</v>
      </c>
      <c r="B46" s="145"/>
      <c r="C46" s="145"/>
      <c r="D46" s="145"/>
    </row>
    <row r="47" spans="1:4">
      <c r="A47" s="10" t="s">
        <v>19</v>
      </c>
      <c r="B47" s="145"/>
      <c r="C47" s="145"/>
      <c r="D47" s="145"/>
    </row>
    <row r="48" spans="1:4">
      <c r="A48" s="10" t="s">
        <v>20</v>
      </c>
      <c r="B48" s="145">
        <v>2.9</v>
      </c>
      <c r="C48" s="145">
        <v>3.4</v>
      </c>
      <c r="D48" s="145"/>
    </row>
    <row r="49" spans="1:4" ht="15.75" customHeight="1">
      <c r="A49" s="10" t="s">
        <v>23</v>
      </c>
      <c r="B49" s="145"/>
      <c r="C49" s="145"/>
      <c r="D49" s="145"/>
    </row>
    <row r="50" spans="1:4">
      <c r="A50" s="10" t="s">
        <v>18</v>
      </c>
      <c r="B50" s="145"/>
      <c r="C50" s="145"/>
      <c r="D50" s="145"/>
    </row>
    <row r="51" spans="1:4">
      <c r="A51" s="10" t="s">
        <v>38</v>
      </c>
      <c r="B51" s="145"/>
      <c r="C51" s="145"/>
      <c r="D51" s="145"/>
    </row>
    <row r="52" spans="1:4" ht="31.5">
      <c r="A52" s="10" t="s">
        <v>32</v>
      </c>
      <c r="B52" s="145"/>
      <c r="C52" s="145"/>
      <c r="D52" s="145"/>
    </row>
    <row r="53" spans="1:4">
      <c r="A53" s="10" t="s">
        <v>39</v>
      </c>
      <c r="B53" s="145"/>
      <c r="C53" s="145"/>
      <c r="D53" s="145"/>
    </row>
    <row r="54" spans="1:4">
      <c r="A54" s="10" t="s">
        <v>33</v>
      </c>
      <c r="B54" s="145"/>
      <c r="C54" s="145"/>
      <c r="D54" s="145"/>
    </row>
    <row r="55" spans="1:4">
      <c r="A55" s="10" t="s">
        <v>34</v>
      </c>
      <c r="B55" s="145"/>
      <c r="C55" s="145"/>
      <c r="D55" s="145"/>
    </row>
    <row r="56" spans="1:4">
      <c r="A56" s="10" t="s">
        <v>37</v>
      </c>
      <c r="B56" s="145"/>
      <c r="C56" s="145"/>
      <c r="D56" s="145"/>
    </row>
    <row r="57" spans="1:4" ht="31.5">
      <c r="A57" s="10" t="s">
        <v>35</v>
      </c>
      <c r="B57" s="145"/>
      <c r="C57" s="145"/>
      <c r="D57" s="145"/>
    </row>
    <row r="58" spans="1:4">
      <c r="A58" s="10" t="s">
        <v>36</v>
      </c>
      <c r="B58" s="145"/>
      <c r="C58" s="145"/>
      <c r="D58" s="145"/>
    </row>
    <row r="59" spans="1:4">
      <c r="A59" s="10" t="s">
        <v>30</v>
      </c>
      <c r="B59" s="145"/>
      <c r="C59" s="145">
        <v>5</v>
      </c>
      <c r="D59" s="145"/>
    </row>
    <row r="60" spans="1:4">
      <c r="A60" s="10" t="s">
        <v>78</v>
      </c>
      <c r="B60" s="145">
        <v>5</v>
      </c>
      <c r="C60" s="145">
        <v>5</v>
      </c>
      <c r="D60" s="145"/>
    </row>
    <row r="61" spans="1:4">
      <c r="A61" s="10" t="s">
        <v>21</v>
      </c>
      <c r="B61" s="145">
        <v>751.4</v>
      </c>
      <c r="C61" s="145">
        <v>372.7</v>
      </c>
      <c r="D61" s="145">
        <v>119.4</v>
      </c>
    </row>
    <row r="62" spans="1:4">
      <c r="A62" s="29" t="s">
        <v>79</v>
      </c>
      <c r="B62" s="145"/>
      <c r="C62" s="145"/>
      <c r="D62" s="145"/>
    </row>
    <row r="63" spans="1:4" s="30" customFormat="1">
      <c r="A63" s="10" t="s">
        <v>80</v>
      </c>
      <c r="B63" s="147"/>
      <c r="C63" s="147"/>
      <c r="D63" s="147"/>
    </row>
    <row r="64" spans="1:4">
      <c r="A64" s="10" t="s">
        <v>81</v>
      </c>
      <c r="B64" s="145"/>
      <c r="C64" s="145"/>
      <c r="D64" s="145"/>
    </row>
    <row r="65" spans="1:4">
      <c r="A65" s="10" t="s">
        <v>15</v>
      </c>
      <c r="B65" s="145"/>
      <c r="C65" s="145"/>
      <c r="D65" s="145"/>
    </row>
    <row r="66" spans="1:4">
      <c r="A66" s="10" t="s">
        <v>82</v>
      </c>
      <c r="B66" s="145">
        <v>12</v>
      </c>
      <c r="C66" s="145">
        <v>12</v>
      </c>
      <c r="D66" s="145"/>
    </row>
    <row r="67" spans="1:4">
      <c r="A67" s="10" t="s">
        <v>83</v>
      </c>
      <c r="B67" s="145"/>
      <c r="C67" s="145"/>
      <c r="D67" s="145"/>
    </row>
    <row r="68" spans="1:4">
      <c r="A68" s="10" t="s">
        <v>84</v>
      </c>
      <c r="B68" s="145">
        <v>1.1000000000000001</v>
      </c>
      <c r="C68" s="145">
        <v>0.1</v>
      </c>
      <c r="D68" s="145"/>
    </row>
    <row r="69" spans="1:4">
      <c r="A69" s="10" t="s">
        <v>85</v>
      </c>
      <c r="B69" s="145"/>
      <c r="C69" s="145"/>
      <c r="D69" s="145"/>
    </row>
    <row r="70" spans="1:4">
      <c r="A70" s="10" t="s">
        <v>86</v>
      </c>
      <c r="B70" s="145"/>
      <c r="C70" s="145"/>
      <c r="D70" s="145"/>
    </row>
    <row r="71" spans="1:4">
      <c r="A71" s="29" t="s">
        <v>87</v>
      </c>
      <c r="B71" s="145"/>
      <c r="C71" s="145"/>
      <c r="D71" s="145"/>
    </row>
    <row r="72" spans="1:4" ht="31.5">
      <c r="A72" s="10" t="s">
        <v>88</v>
      </c>
      <c r="B72" s="145"/>
      <c r="C72" s="145"/>
      <c r="D72" s="145"/>
    </row>
    <row r="73" spans="1:4">
      <c r="A73" s="10" t="s">
        <v>89</v>
      </c>
      <c r="B73" s="145"/>
      <c r="C73" s="145"/>
      <c r="D73" s="145"/>
    </row>
    <row r="74" spans="1:4">
      <c r="A74" s="10" t="s">
        <v>90</v>
      </c>
      <c r="B74" s="145"/>
      <c r="C74" s="145"/>
      <c r="D74" s="145"/>
    </row>
    <row r="75" spans="1:4">
      <c r="A75" s="29" t="s">
        <v>91</v>
      </c>
      <c r="B75" s="145"/>
      <c r="C75" s="145"/>
      <c r="D75" s="145"/>
    </row>
    <row r="76" spans="1:4">
      <c r="A76" s="9" t="s">
        <v>92</v>
      </c>
      <c r="B76" s="145">
        <v>19.8</v>
      </c>
      <c r="C76" s="145">
        <v>18.3</v>
      </c>
      <c r="D76" s="145"/>
    </row>
    <row r="77" spans="1:4">
      <c r="A77" s="9" t="s">
        <v>0</v>
      </c>
      <c r="B77" s="145">
        <v>8</v>
      </c>
      <c r="C77" s="145">
        <v>11.5</v>
      </c>
      <c r="D77" s="145"/>
    </row>
    <row r="78" spans="1:4">
      <c r="A78" s="9" t="s">
        <v>1</v>
      </c>
      <c r="B78" s="145">
        <v>36.299999999999997</v>
      </c>
      <c r="C78" s="145">
        <v>53</v>
      </c>
      <c r="D78" s="145">
        <v>17.5</v>
      </c>
    </row>
    <row r="79" spans="1:4">
      <c r="A79" s="9" t="s">
        <v>93</v>
      </c>
      <c r="B79" s="145"/>
      <c r="C79" s="145"/>
      <c r="D79" s="145"/>
    </row>
    <row r="80" spans="1:4">
      <c r="A80" s="9" t="s">
        <v>26</v>
      </c>
      <c r="B80" s="145"/>
      <c r="C80" s="145"/>
      <c r="D80" s="145"/>
    </row>
    <row r="81" spans="1:4">
      <c r="A81" s="9" t="s">
        <v>2</v>
      </c>
      <c r="B81" s="145">
        <v>48</v>
      </c>
      <c r="C81" s="145">
        <v>62</v>
      </c>
      <c r="D81" s="145">
        <v>25.7</v>
      </c>
    </row>
    <row r="82" spans="1:4">
      <c r="A82" s="9" t="s">
        <v>94</v>
      </c>
      <c r="B82" s="145">
        <v>0.6</v>
      </c>
      <c r="C82" s="145">
        <v>0.6</v>
      </c>
      <c r="D82" s="145"/>
    </row>
    <row r="83" spans="1:4">
      <c r="A83" s="9" t="s">
        <v>95</v>
      </c>
      <c r="B83" s="145">
        <v>24.9</v>
      </c>
      <c r="C83" s="146">
        <v>10</v>
      </c>
      <c r="D83" s="145"/>
    </row>
    <row r="84" spans="1:4">
      <c r="A84" s="8" t="s">
        <v>96</v>
      </c>
      <c r="B84" s="145"/>
      <c r="C84" s="146"/>
      <c r="D84" s="145"/>
    </row>
    <row r="85" spans="1:4" ht="15.75" customHeight="1">
      <c r="A85" s="10" t="s">
        <v>97</v>
      </c>
      <c r="B85" s="145"/>
      <c r="C85" s="145"/>
      <c r="D85" s="145"/>
    </row>
    <row r="86" spans="1:4">
      <c r="A86" s="10" t="s">
        <v>98</v>
      </c>
      <c r="B86" s="145"/>
      <c r="C86" s="145"/>
      <c r="D86" s="145"/>
    </row>
    <row r="87" spans="1:4">
      <c r="A87" s="10" t="s">
        <v>99</v>
      </c>
      <c r="B87" s="145"/>
      <c r="C87" s="145"/>
      <c r="D87" s="145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>
    <tabColor rgb="FFFFFF00"/>
  </sheetPr>
  <dimension ref="A1:D199"/>
  <sheetViews>
    <sheetView topLeftCell="A10" zoomScale="90" zoomScaleNormal="90" workbookViewId="0">
      <selection activeCell="D39" sqref="D39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 ht="15.75" customHeight="1">
      <c r="A4" s="191" t="s">
        <v>65</v>
      </c>
      <c r="B4" s="191"/>
      <c r="C4" s="191"/>
      <c r="D4" s="191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90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4" ht="21" customHeight="1">
      <c r="A8" s="3">
        <v>1</v>
      </c>
      <c r="B8" s="3">
        <v>2</v>
      </c>
      <c r="C8" s="3">
        <v>3</v>
      </c>
      <c r="D8" s="90">
        <v>4</v>
      </c>
    </row>
    <row r="9" spans="1:4" ht="25.5">
      <c r="A9" s="7" t="s">
        <v>68</v>
      </c>
      <c r="B9" s="144">
        <f>SUM(B10:B98)</f>
        <v>1290</v>
      </c>
      <c r="C9" s="144">
        <f>SUM(C10:C98)</f>
        <v>543.00000000000011</v>
      </c>
      <c r="D9" s="144">
        <f>SUM(D10:D98)</f>
        <v>131.79999999999998</v>
      </c>
    </row>
    <row r="10" spans="1:4">
      <c r="A10" s="7" t="s">
        <v>69</v>
      </c>
      <c r="B10" s="144"/>
      <c r="C10" s="144"/>
      <c r="D10" s="144"/>
    </row>
    <row r="11" spans="1:4">
      <c r="A11" s="9" t="s">
        <v>70</v>
      </c>
      <c r="B11" s="145"/>
      <c r="C11" s="145"/>
      <c r="D11" s="145"/>
    </row>
    <row r="12" spans="1:4">
      <c r="A12" s="9" t="s">
        <v>27</v>
      </c>
      <c r="B12" s="145"/>
      <c r="C12" s="145"/>
      <c r="D12" s="145"/>
    </row>
    <row r="13" spans="1:4">
      <c r="A13" s="9" t="s">
        <v>71</v>
      </c>
      <c r="B13" s="145"/>
      <c r="C13" s="145"/>
      <c r="D13" s="145"/>
    </row>
    <row r="14" spans="1:4">
      <c r="A14" s="9" t="s">
        <v>5</v>
      </c>
      <c r="B14" s="145">
        <v>32</v>
      </c>
      <c r="C14" s="145">
        <v>50</v>
      </c>
      <c r="D14" s="145">
        <v>0</v>
      </c>
    </row>
    <row r="15" spans="1:4">
      <c r="A15" s="8" t="s">
        <v>72</v>
      </c>
      <c r="B15" s="145"/>
      <c r="C15" s="145"/>
      <c r="D15" s="145"/>
    </row>
    <row r="16" spans="1:4" s="6" customFormat="1" ht="31.5">
      <c r="A16" s="9" t="s">
        <v>40</v>
      </c>
      <c r="B16" s="145">
        <v>52.8</v>
      </c>
      <c r="C16" s="145">
        <f>4.8+48</f>
        <v>52.8</v>
      </c>
      <c r="D16" s="145">
        <v>4</v>
      </c>
    </row>
    <row r="17" spans="1:4" s="6" customFormat="1">
      <c r="A17" s="9" t="s">
        <v>41</v>
      </c>
      <c r="B17" s="27"/>
      <c r="C17" s="27"/>
      <c r="D17" s="27"/>
    </row>
    <row r="18" spans="1:4" ht="18.75" customHeight="1">
      <c r="A18" s="9" t="s">
        <v>6</v>
      </c>
      <c r="B18" s="145"/>
      <c r="C18" s="145"/>
      <c r="D18" s="145"/>
    </row>
    <row r="19" spans="1:4">
      <c r="A19" s="9" t="s">
        <v>29</v>
      </c>
      <c r="B19" s="145"/>
      <c r="C19" s="145"/>
      <c r="D19" s="145"/>
    </row>
    <row r="20" spans="1:4">
      <c r="A20" s="9" t="s">
        <v>15</v>
      </c>
      <c r="B20" s="145"/>
      <c r="C20" s="145"/>
      <c r="D20" s="145"/>
    </row>
    <row r="21" spans="1:4" ht="31.5">
      <c r="A21" s="10" t="s">
        <v>7</v>
      </c>
      <c r="B21" s="145"/>
      <c r="C21" s="145"/>
      <c r="D21" s="145"/>
    </row>
    <row r="22" spans="1:4">
      <c r="A22" s="10" t="s">
        <v>8</v>
      </c>
      <c r="B22" s="145"/>
      <c r="C22" s="145"/>
      <c r="D22" s="145"/>
    </row>
    <row r="23" spans="1:4">
      <c r="A23" s="10" t="s">
        <v>73</v>
      </c>
      <c r="B23" s="145">
        <v>15.8</v>
      </c>
      <c r="C23" s="145">
        <f>12+3</f>
        <v>15</v>
      </c>
      <c r="D23" s="145">
        <v>2</v>
      </c>
    </row>
    <row r="24" spans="1:4">
      <c r="A24" s="10" t="s">
        <v>74</v>
      </c>
      <c r="B24" s="145"/>
      <c r="C24" s="145">
        <f>4.7-4.7</f>
        <v>0</v>
      </c>
      <c r="D24" s="145">
        <v>0</v>
      </c>
    </row>
    <row r="25" spans="1:4">
      <c r="A25" s="10" t="s">
        <v>4</v>
      </c>
      <c r="B25" s="145"/>
      <c r="C25" s="145"/>
      <c r="D25" s="145"/>
    </row>
    <row r="26" spans="1:4">
      <c r="A26" s="10" t="s">
        <v>45</v>
      </c>
      <c r="B26" s="145"/>
      <c r="C26" s="145"/>
      <c r="D26" s="145"/>
    </row>
    <row r="27" spans="1:4">
      <c r="A27" s="11" t="s">
        <v>3</v>
      </c>
      <c r="B27" s="145">
        <v>29.1</v>
      </c>
      <c r="C27" s="145">
        <f>0.9+3</f>
        <v>3.9</v>
      </c>
      <c r="D27" s="145">
        <v>0</v>
      </c>
    </row>
    <row r="28" spans="1:4">
      <c r="A28" s="28" t="s">
        <v>75</v>
      </c>
      <c r="B28" s="145"/>
      <c r="C28" s="145"/>
      <c r="D28" s="145"/>
    </row>
    <row r="29" spans="1:4" s="6" customFormat="1" ht="31.5">
      <c r="A29" s="10" t="s">
        <v>40</v>
      </c>
      <c r="B29" s="145"/>
      <c r="C29" s="145">
        <v>0</v>
      </c>
      <c r="D29" s="145">
        <v>0</v>
      </c>
    </row>
    <row r="30" spans="1:4" s="6" customFormat="1">
      <c r="A30" s="10" t="s">
        <v>41</v>
      </c>
      <c r="B30" s="27"/>
      <c r="C30" s="27"/>
      <c r="D30" s="27"/>
    </row>
    <row r="31" spans="1:4">
      <c r="A31" s="10" t="s">
        <v>24</v>
      </c>
      <c r="B31" s="145"/>
      <c r="C31" s="145"/>
      <c r="D31" s="145"/>
    </row>
    <row r="32" spans="1:4">
      <c r="A32" s="10" t="s">
        <v>9</v>
      </c>
      <c r="B32" s="145"/>
      <c r="C32" s="145"/>
      <c r="D32" s="145"/>
    </row>
    <row r="33" spans="1:4">
      <c r="A33" s="10" t="s">
        <v>25</v>
      </c>
      <c r="B33" s="145">
        <v>247.5</v>
      </c>
      <c r="C33" s="145">
        <f>148+63.9</f>
        <v>211.9</v>
      </c>
      <c r="D33" s="145">
        <v>105.3</v>
      </c>
    </row>
    <row r="34" spans="1:4" ht="17.25" customHeight="1">
      <c r="A34" s="10" t="s">
        <v>10</v>
      </c>
      <c r="B34" s="145">
        <v>30.6</v>
      </c>
      <c r="C34" s="145">
        <v>5.6</v>
      </c>
      <c r="D34" s="145">
        <v>0</v>
      </c>
    </row>
    <row r="35" spans="1:4">
      <c r="A35" s="10" t="s">
        <v>11</v>
      </c>
      <c r="B35" s="145"/>
      <c r="C35" s="145"/>
      <c r="D35" s="145"/>
    </row>
    <row r="36" spans="1:4">
      <c r="A36" s="10" t="s">
        <v>12</v>
      </c>
      <c r="B36" s="145">
        <v>14.7</v>
      </c>
      <c r="C36" s="145">
        <v>15</v>
      </c>
      <c r="D36" s="145">
        <v>0</v>
      </c>
    </row>
    <row r="37" spans="1:4">
      <c r="A37" s="10" t="s">
        <v>28</v>
      </c>
      <c r="B37" s="145"/>
      <c r="C37" s="145">
        <f>25-25</f>
        <v>0</v>
      </c>
      <c r="D37" s="145"/>
    </row>
    <row r="38" spans="1:4" ht="31.5">
      <c r="A38" s="10" t="s">
        <v>13</v>
      </c>
      <c r="B38" s="145"/>
      <c r="C38" s="145"/>
      <c r="D38" s="145"/>
    </row>
    <row r="39" spans="1:4">
      <c r="A39" s="10" t="s">
        <v>14</v>
      </c>
      <c r="B39" s="145"/>
      <c r="C39" s="145"/>
      <c r="D39" s="145"/>
    </row>
    <row r="40" spans="1:4">
      <c r="A40" s="10" t="s">
        <v>31</v>
      </c>
      <c r="B40" s="145"/>
      <c r="C40" s="145"/>
      <c r="D40" s="145"/>
    </row>
    <row r="41" spans="1:4">
      <c r="A41" s="10" t="s">
        <v>76</v>
      </c>
      <c r="B41" s="145"/>
      <c r="C41" s="145"/>
      <c r="D41" s="145"/>
    </row>
    <row r="42" spans="1:4">
      <c r="A42" s="10" t="s">
        <v>15</v>
      </c>
      <c r="B42" s="145"/>
      <c r="C42" s="145"/>
      <c r="D42" s="145"/>
    </row>
    <row r="43" spans="1:4">
      <c r="A43" s="10" t="s">
        <v>16</v>
      </c>
      <c r="B43" s="145"/>
      <c r="C43" s="145"/>
      <c r="D43" s="145"/>
    </row>
    <row r="44" spans="1:4">
      <c r="A44" s="10" t="s">
        <v>17</v>
      </c>
      <c r="B44" s="145">
        <v>19.5</v>
      </c>
      <c r="C44" s="145">
        <v>20</v>
      </c>
      <c r="D44" s="145">
        <v>0</v>
      </c>
    </row>
    <row r="45" spans="1:4">
      <c r="A45" s="10" t="s">
        <v>77</v>
      </c>
      <c r="B45" s="145"/>
      <c r="C45" s="145"/>
      <c r="D45" s="145"/>
    </row>
    <row r="46" spans="1:4">
      <c r="A46" s="10" t="s">
        <v>22</v>
      </c>
      <c r="B46" s="145"/>
      <c r="C46" s="145"/>
      <c r="D46" s="145"/>
    </row>
    <row r="47" spans="1:4">
      <c r="A47" s="10" t="s">
        <v>19</v>
      </c>
      <c r="B47" s="145"/>
      <c r="C47" s="145"/>
      <c r="D47" s="145"/>
    </row>
    <row r="48" spans="1:4">
      <c r="A48" s="10" t="s">
        <v>20</v>
      </c>
      <c r="B48" s="145"/>
      <c r="C48" s="145"/>
      <c r="D48" s="145"/>
    </row>
    <row r="49" spans="1:4" ht="15.75" customHeight="1">
      <c r="A49" s="10" t="s">
        <v>23</v>
      </c>
      <c r="B49" s="145"/>
      <c r="C49" s="145"/>
      <c r="D49" s="145"/>
    </row>
    <row r="50" spans="1:4">
      <c r="A50" s="10" t="s">
        <v>18</v>
      </c>
      <c r="B50" s="145"/>
      <c r="C50" s="145">
        <v>0</v>
      </c>
      <c r="D50" s="145"/>
    </row>
    <row r="51" spans="1:4">
      <c r="A51" s="10" t="s">
        <v>38</v>
      </c>
      <c r="B51" s="145"/>
      <c r="C51" s="145"/>
      <c r="D51" s="145"/>
    </row>
    <row r="52" spans="1:4" ht="31.5">
      <c r="A52" s="10" t="s">
        <v>32</v>
      </c>
      <c r="B52" s="145"/>
      <c r="C52" s="145"/>
      <c r="D52" s="145"/>
    </row>
    <row r="53" spans="1:4">
      <c r="A53" s="10" t="s">
        <v>39</v>
      </c>
      <c r="B53" s="145"/>
      <c r="C53" s="145"/>
      <c r="D53" s="145"/>
    </row>
    <row r="54" spans="1:4">
      <c r="A54" s="10" t="s">
        <v>33</v>
      </c>
      <c r="B54" s="145"/>
      <c r="C54" s="145"/>
      <c r="D54" s="145"/>
    </row>
    <row r="55" spans="1:4">
      <c r="A55" s="10" t="s">
        <v>34</v>
      </c>
      <c r="B55" s="145"/>
      <c r="C55" s="145"/>
      <c r="D55" s="145"/>
    </row>
    <row r="56" spans="1:4">
      <c r="A56" s="10" t="s">
        <v>37</v>
      </c>
      <c r="B56" s="145"/>
      <c r="C56" s="145"/>
      <c r="D56" s="145"/>
    </row>
    <row r="57" spans="1:4" ht="31.5">
      <c r="A57" s="10" t="s">
        <v>35</v>
      </c>
      <c r="B57" s="145"/>
      <c r="C57" s="145"/>
      <c r="D57" s="145"/>
    </row>
    <row r="58" spans="1:4">
      <c r="A58" s="10" t="s">
        <v>36</v>
      </c>
      <c r="B58" s="145"/>
      <c r="C58" s="145"/>
      <c r="D58" s="145"/>
    </row>
    <row r="59" spans="1:4">
      <c r="A59" s="10" t="s">
        <v>30</v>
      </c>
      <c r="B59" s="145">
        <v>1.5</v>
      </c>
      <c r="C59" s="145">
        <v>0</v>
      </c>
      <c r="D59" s="145">
        <v>0</v>
      </c>
    </row>
    <row r="60" spans="1:4">
      <c r="A60" s="10" t="s">
        <v>78</v>
      </c>
      <c r="B60" s="145">
        <v>320.5</v>
      </c>
      <c r="C60" s="145">
        <v>0</v>
      </c>
      <c r="D60" s="145">
        <v>0</v>
      </c>
    </row>
    <row r="61" spans="1:4">
      <c r="A61" s="10" t="s">
        <v>21</v>
      </c>
      <c r="B61" s="145">
        <v>98.5</v>
      </c>
      <c r="C61" s="145">
        <f>47.5</f>
        <v>47.5</v>
      </c>
      <c r="D61" s="145">
        <v>0</v>
      </c>
    </row>
    <row r="62" spans="1:4">
      <c r="A62" s="29" t="s">
        <v>79</v>
      </c>
      <c r="B62" s="145"/>
      <c r="C62" s="145"/>
      <c r="D62" s="145"/>
    </row>
    <row r="63" spans="1:4" s="30" customFormat="1">
      <c r="A63" s="10" t="s">
        <v>80</v>
      </c>
      <c r="B63" s="147"/>
      <c r="C63" s="147"/>
      <c r="D63" s="147"/>
    </row>
    <row r="64" spans="1:4">
      <c r="A64" s="10" t="s">
        <v>81</v>
      </c>
      <c r="B64" s="145"/>
      <c r="C64" s="145"/>
      <c r="D64" s="145"/>
    </row>
    <row r="65" spans="1:4">
      <c r="A65" s="10" t="s">
        <v>15</v>
      </c>
      <c r="B65" s="145"/>
      <c r="C65" s="145"/>
      <c r="D65" s="145"/>
    </row>
    <row r="66" spans="1:4">
      <c r="A66" s="10" t="s">
        <v>82</v>
      </c>
      <c r="B66" s="145">
        <v>20</v>
      </c>
      <c r="C66" s="145">
        <v>20</v>
      </c>
      <c r="D66" s="145">
        <v>0</v>
      </c>
    </row>
    <row r="67" spans="1:4">
      <c r="A67" s="10" t="s">
        <v>83</v>
      </c>
      <c r="B67" s="145"/>
      <c r="C67" s="145"/>
      <c r="D67" s="145"/>
    </row>
    <row r="68" spans="1:4">
      <c r="A68" s="10" t="s">
        <v>84</v>
      </c>
      <c r="B68" s="145">
        <v>1.7</v>
      </c>
      <c r="C68" s="145">
        <v>0</v>
      </c>
      <c r="D68" s="145">
        <v>0</v>
      </c>
    </row>
    <row r="69" spans="1:4">
      <c r="A69" s="10" t="s">
        <v>85</v>
      </c>
      <c r="B69" s="145"/>
      <c r="C69" s="145"/>
      <c r="D69" s="145"/>
    </row>
    <row r="70" spans="1:4">
      <c r="A70" s="10" t="s">
        <v>86</v>
      </c>
      <c r="B70" s="145"/>
      <c r="C70" s="145">
        <v>0</v>
      </c>
      <c r="D70" s="145">
        <v>0</v>
      </c>
    </row>
    <row r="71" spans="1:4">
      <c r="A71" s="29" t="s">
        <v>87</v>
      </c>
      <c r="B71" s="145"/>
      <c r="C71" s="145"/>
      <c r="D71" s="145"/>
    </row>
    <row r="72" spans="1:4" ht="31.5">
      <c r="A72" s="10" t="s">
        <v>88</v>
      </c>
      <c r="B72" s="145"/>
      <c r="C72" s="145"/>
      <c r="D72" s="145"/>
    </row>
    <row r="73" spans="1:4">
      <c r="A73" s="10" t="s">
        <v>89</v>
      </c>
      <c r="B73" s="145"/>
      <c r="C73" s="145"/>
      <c r="D73" s="145"/>
    </row>
    <row r="74" spans="1:4">
      <c r="A74" s="10" t="s">
        <v>90</v>
      </c>
      <c r="B74" s="145"/>
      <c r="C74" s="145"/>
      <c r="D74" s="145"/>
    </row>
    <row r="75" spans="1:4">
      <c r="A75" s="29" t="s">
        <v>91</v>
      </c>
      <c r="B75" s="145"/>
      <c r="C75" s="145"/>
      <c r="D75" s="145"/>
    </row>
    <row r="76" spans="1:4">
      <c r="A76" s="9" t="s">
        <v>92</v>
      </c>
      <c r="B76" s="145">
        <v>305</v>
      </c>
      <c r="C76" s="145">
        <f>20+10</f>
        <v>30</v>
      </c>
      <c r="D76" s="145">
        <v>0</v>
      </c>
    </row>
    <row r="77" spans="1:4">
      <c r="A77" s="9" t="s">
        <v>0</v>
      </c>
      <c r="B77" s="145">
        <v>30.8</v>
      </c>
      <c r="C77" s="145">
        <v>20.7</v>
      </c>
      <c r="D77" s="145">
        <v>3.6</v>
      </c>
    </row>
    <row r="78" spans="1:4">
      <c r="A78" s="9" t="s">
        <v>1</v>
      </c>
      <c r="B78" s="145">
        <v>11.7</v>
      </c>
      <c r="C78" s="145">
        <v>27.5</v>
      </c>
      <c r="D78" s="145">
        <v>15.7</v>
      </c>
    </row>
    <row r="79" spans="1:4">
      <c r="A79" s="9" t="s">
        <v>93</v>
      </c>
      <c r="B79" s="145"/>
      <c r="C79" s="145"/>
      <c r="D79" s="145"/>
    </row>
    <row r="80" spans="1:4">
      <c r="A80" s="9" t="s">
        <v>26</v>
      </c>
      <c r="B80" s="145"/>
      <c r="C80" s="145"/>
      <c r="D80" s="145"/>
    </row>
    <row r="81" spans="1:4">
      <c r="A81" s="9" t="s">
        <v>2</v>
      </c>
      <c r="B81" s="145">
        <v>1.8</v>
      </c>
      <c r="C81" s="145">
        <v>8.1</v>
      </c>
      <c r="D81" s="145">
        <v>1.2</v>
      </c>
    </row>
    <row r="82" spans="1:4">
      <c r="A82" s="9" t="s">
        <v>94</v>
      </c>
      <c r="B82" s="145"/>
      <c r="C82" s="145"/>
      <c r="D82" s="145"/>
    </row>
    <row r="83" spans="1:4">
      <c r="A83" s="9" t="s">
        <v>95</v>
      </c>
      <c r="B83" s="145">
        <v>56.5</v>
      </c>
      <c r="C83" s="146">
        <f>10+5</f>
        <v>15</v>
      </c>
      <c r="D83" s="145">
        <v>0</v>
      </c>
    </row>
    <row r="84" spans="1:4">
      <c r="A84" s="8" t="s">
        <v>96</v>
      </c>
      <c r="B84" s="145"/>
      <c r="C84" s="146"/>
      <c r="D84" s="145"/>
    </row>
    <row r="85" spans="1:4" ht="15.75" customHeight="1">
      <c r="A85" s="10" t="s">
        <v>97</v>
      </c>
      <c r="B85" s="145"/>
      <c r="C85" s="145"/>
      <c r="D85" s="145"/>
    </row>
    <row r="86" spans="1:4">
      <c r="A86" s="10" t="s">
        <v>98</v>
      </c>
      <c r="B86" s="145"/>
      <c r="C86" s="145"/>
      <c r="D86" s="145"/>
    </row>
    <row r="87" spans="1:4">
      <c r="A87" s="10" t="s">
        <v>99</v>
      </c>
      <c r="B87" s="145"/>
      <c r="C87" s="145"/>
      <c r="D87" s="145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6">
    <tabColor rgb="FFFFFF00"/>
  </sheetPr>
  <dimension ref="A1:E199"/>
  <sheetViews>
    <sheetView topLeftCell="A19" workbookViewId="0">
      <selection activeCell="D39" sqref="D39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5">
      <c r="C1" s="22"/>
      <c r="D1" s="5" t="s">
        <v>53</v>
      </c>
    </row>
    <row r="2" spans="1:5" ht="18.75">
      <c r="A2" s="190" t="s">
        <v>43</v>
      </c>
      <c r="B2" s="190"/>
      <c r="C2" s="191"/>
      <c r="D2" s="191"/>
    </row>
    <row r="3" spans="1:5">
      <c r="A3" s="192" t="s">
        <v>44</v>
      </c>
      <c r="B3" s="192"/>
      <c r="C3" s="192"/>
      <c r="D3" s="192"/>
    </row>
    <row r="4" spans="1:5" ht="15.75" customHeight="1">
      <c r="A4" s="191" t="s">
        <v>65</v>
      </c>
      <c r="B4" s="191"/>
      <c r="C4" s="191"/>
      <c r="D4" s="191"/>
    </row>
    <row r="5" spans="1:5">
      <c r="A5" s="194" t="s">
        <v>42</v>
      </c>
      <c r="B5" s="194"/>
      <c r="C5" s="194"/>
      <c r="D5" s="194"/>
    </row>
    <row r="6" spans="1:5">
      <c r="A6" s="2"/>
      <c r="B6" s="2"/>
      <c r="D6" s="5" t="s">
        <v>66</v>
      </c>
    </row>
    <row r="7" spans="1:5" ht="90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5" ht="16.5" customHeight="1">
      <c r="A8" s="3">
        <v>1</v>
      </c>
      <c r="B8" s="3">
        <v>2</v>
      </c>
      <c r="C8" s="3">
        <v>3</v>
      </c>
      <c r="D8" s="95">
        <v>4</v>
      </c>
    </row>
    <row r="9" spans="1:5" ht="25.5">
      <c r="A9" s="7" t="s">
        <v>68</v>
      </c>
      <c r="B9" s="62">
        <f>SUM(B10:B87)</f>
        <v>1125.4000000000001</v>
      </c>
      <c r="C9" s="62">
        <f>SUM(C10:C87)</f>
        <v>1296</v>
      </c>
      <c r="D9" s="62">
        <f>SUM(D10:D87)</f>
        <v>204.59999999999997</v>
      </c>
      <c r="E9" s="61"/>
    </row>
    <row r="10" spans="1:5">
      <c r="A10" s="7" t="s">
        <v>69</v>
      </c>
      <c r="B10" s="85"/>
      <c r="C10" s="144"/>
      <c r="D10" s="42"/>
    </row>
    <row r="11" spans="1:5">
      <c r="A11" s="9" t="s">
        <v>70</v>
      </c>
      <c r="B11" s="86"/>
      <c r="C11" s="145"/>
      <c r="D11" s="107"/>
    </row>
    <row r="12" spans="1:5">
      <c r="A12" s="9" t="s">
        <v>27</v>
      </c>
      <c r="B12" s="86"/>
      <c r="C12" s="145"/>
      <c r="D12" s="107"/>
    </row>
    <row r="13" spans="1:5">
      <c r="A13" s="9" t="s">
        <v>71</v>
      </c>
      <c r="B13" s="86"/>
      <c r="C13" s="145"/>
      <c r="D13" s="107"/>
    </row>
    <row r="14" spans="1:5">
      <c r="A14" s="9" t="s">
        <v>5</v>
      </c>
      <c r="B14" s="86"/>
      <c r="C14" s="145"/>
      <c r="D14" s="107"/>
    </row>
    <row r="15" spans="1:5">
      <c r="A15" s="8" t="s">
        <v>72</v>
      </c>
      <c r="B15" s="86"/>
      <c r="C15" s="145"/>
      <c r="D15" s="107"/>
    </row>
    <row r="16" spans="1:5" s="6" customFormat="1" ht="31.5">
      <c r="A16" s="9" t="s">
        <v>40</v>
      </c>
      <c r="B16" s="86">
        <v>39.4</v>
      </c>
      <c r="C16" s="145">
        <v>36.200000000000003</v>
      </c>
      <c r="D16" s="107">
        <v>3</v>
      </c>
    </row>
    <row r="17" spans="1:4" s="6" customFormat="1">
      <c r="A17" s="9" t="s">
        <v>41</v>
      </c>
      <c r="B17" s="87"/>
      <c r="C17" s="27"/>
      <c r="D17" s="120"/>
    </row>
    <row r="18" spans="1:4" ht="18.75" customHeight="1">
      <c r="A18" s="9" t="s">
        <v>6</v>
      </c>
      <c r="B18" s="86"/>
      <c r="C18" s="145"/>
      <c r="D18" s="107"/>
    </row>
    <row r="19" spans="1:4">
      <c r="A19" s="9" t="s">
        <v>29</v>
      </c>
      <c r="B19" s="86"/>
      <c r="C19" s="145"/>
      <c r="D19" s="107"/>
    </row>
    <row r="20" spans="1:4">
      <c r="A20" s="9" t="s">
        <v>15</v>
      </c>
      <c r="B20" s="86"/>
      <c r="C20" s="145"/>
      <c r="D20" s="107"/>
    </row>
    <row r="21" spans="1:4" ht="31.5">
      <c r="A21" s="10" t="s">
        <v>7</v>
      </c>
      <c r="B21" s="86"/>
      <c r="C21" s="145"/>
      <c r="D21" s="107"/>
    </row>
    <row r="22" spans="1:4">
      <c r="A22" s="10" t="s">
        <v>8</v>
      </c>
      <c r="B22" s="86"/>
      <c r="C22" s="145"/>
      <c r="D22" s="107"/>
    </row>
    <row r="23" spans="1:4">
      <c r="A23" s="10" t="s">
        <v>73</v>
      </c>
      <c r="B23" s="86">
        <v>21.3</v>
      </c>
      <c r="C23" s="148">
        <v>33.799999999999997</v>
      </c>
      <c r="D23" s="107">
        <v>4.7</v>
      </c>
    </row>
    <row r="24" spans="1:4">
      <c r="A24" s="10" t="s">
        <v>74</v>
      </c>
      <c r="B24" s="86"/>
      <c r="C24" s="145"/>
      <c r="D24" s="107"/>
    </row>
    <row r="25" spans="1:4">
      <c r="A25" s="10" t="s">
        <v>4</v>
      </c>
      <c r="B25" s="86"/>
      <c r="C25" s="145"/>
      <c r="D25" s="107"/>
    </row>
    <row r="26" spans="1:4">
      <c r="A26" s="10" t="s">
        <v>45</v>
      </c>
      <c r="B26" s="86"/>
      <c r="C26" s="145"/>
      <c r="D26" s="107"/>
    </row>
    <row r="27" spans="1:4">
      <c r="A27" s="11" t="s">
        <v>3</v>
      </c>
      <c r="B27" s="86">
        <v>61.1</v>
      </c>
      <c r="C27" s="148">
        <v>66.599999999999994</v>
      </c>
      <c r="D27" s="107">
        <v>0.8</v>
      </c>
    </row>
    <row r="28" spans="1:4">
      <c r="A28" s="28" t="s">
        <v>75</v>
      </c>
      <c r="B28" s="86"/>
      <c r="C28" s="145"/>
      <c r="D28" s="107"/>
    </row>
    <row r="29" spans="1:4" s="6" customFormat="1" ht="31.5">
      <c r="A29" s="10" t="s">
        <v>40</v>
      </c>
      <c r="B29" s="86">
        <v>32.6</v>
      </c>
      <c r="C29" s="145">
        <v>35.9</v>
      </c>
      <c r="D29" s="107">
        <v>3.1</v>
      </c>
    </row>
    <row r="30" spans="1:4" s="6" customFormat="1">
      <c r="A30" s="10" t="s">
        <v>41</v>
      </c>
      <c r="B30" s="86">
        <v>0</v>
      </c>
      <c r="C30" s="145"/>
      <c r="D30" s="107"/>
    </row>
    <row r="31" spans="1:4">
      <c r="A31" s="10" t="s">
        <v>24</v>
      </c>
      <c r="B31" s="86"/>
      <c r="C31" s="145"/>
      <c r="D31" s="107"/>
    </row>
    <row r="32" spans="1:4">
      <c r="A32" s="10" t="s">
        <v>9</v>
      </c>
      <c r="B32" s="86"/>
      <c r="C32" s="145"/>
      <c r="D32" s="107"/>
    </row>
    <row r="33" spans="1:4">
      <c r="A33" s="10" t="s">
        <v>25</v>
      </c>
      <c r="B33" s="86">
        <v>179.4</v>
      </c>
      <c r="C33" s="148">
        <v>215.6</v>
      </c>
      <c r="D33" s="107">
        <v>38.9</v>
      </c>
    </row>
    <row r="34" spans="1:4" ht="17.25" customHeight="1">
      <c r="A34" s="10" t="s">
        <v>10</v>
      </c>
      <c r="B34" s="86">
        <v>2.2000000000000002</v>
      </c>
      <c r="C34" s="148">
        <v>4.9000000000000004</v>
      </c>
      <c r="D34" s="107">
        <v>0</v>
      </c>
    </row>
    <row r="35" spans="1:4">
      <c r="A35" s="10" t="s">
        <v>11</v>
      </c>
      <c r="B35" s="86">
        <v>5.6</v>
      </c>
      <c r="C35" s="145">
        <v>5.6</v>
      </c>
      <c r="D35" s="107">
        <v>0</v>
      </c>
    </row>
    <row r="36" spans="1:4">
      <c r="A36" s="10" t="s">
        <v>12</v>
      </c>
      <c r="B36" s="86">
        <v>2.5</v>
      </c>
      <c r="C36" s="107">
        <v>2.6</v>
      </c>
      <c r="D36" s="107">
        <v>0</v>
      </c>
    </row>
    <row r="37" spans="1:4">
      <c r="A37" s="10" t="s">
        <v>28</v>
      </c>
      <c r="B37" s="86">
        <v>23.4</v>
      </c>
      <c r="C37" s="107">
        <v>51.3</v>
      </c>
      <c r="D37" s="107">
        <v>1.5</v>
      </c>
    </row>
    <row r="38" spans="1:4" ht="31.5">
      <c r="A38" s="10" t="s">
        <v>13</v>
      </c>
      <c r="B38" s="86"/>
      <c r="C38" s="145"/>
      <c r="D38" s="107"/>
    </row>
    <row r="39" spans="1:4">
      <c r="A39" s="10" t="s">
        <v>14</v>
      </c>
      <c r="B39" s="86"/>
      <c r="C39" s="145"/>
      <c r="D39" s="107"/>
    </row>
    <row r="40" spans="1:4">
      <c r="A40" s="10" t="s">
        <v>31</v>
      </c>
      <c r="B40" s="86"/>
      <c r="C40" s="145"/>
      <c r="D40" s="107"/>
    </row>
    <row r="41" spans="1:4">
      <c r="A41" s="10" t="s">
        <v>76</v>
      </c>
      <c r="B41" s="86">
        <v>8.8000000000000007</v>
      </c>
      <c r="C41" s="107"/>
      <c r="D41" s="107"/>
    </row>
    <row r="42" spans="1:4">
      <c r="A42" s="10" t="s">
        <v>15</v>
      </c>
      <c r="B42" s="86"/>
      <c r="C42" s="145"/>
      <c r="D42" s="107"/>
    </row>
    <row r="43" spans="1:4">
      <c r="A43" s="10" t="s">
        <v>16</v>
      </c>
      <c r="B43" s="86"/>
      <c r="C43" s="145"/>
      <c r="D43" s="107"/>
    </row>
    <row r="44" spans="1:4">
      <c r="A44" s="10" t="s">
        <v>17</v>
      </c>
      <c r="B44" s="86">
        <v>17.100000000000001</v>
      </c>
      <c r="C44" s="145">
        <v>21</v>
      </c>
      <c r="D44" s="107">
        <v>0</v>
      </c>
    </row>
    <row r="45" spans="1:4">
      <c r="A45" s="10" t="s">
        <v>77</v>
      </c>
      <c r="B45" s="86"/>
      <c r="C45" s="145"/>
      <c r="D45" s="107"/>
    </row>
    <row r="46" spans="1:4">
      <c r="A46" s="10" t="s">
        <v>22</v>
      </c>
      <c r="B46" s="86"/>
      <c r="C46" s="145"/>
      <c r="D46" s="107"/>
    </row>
    <row r="47" spans="1:4">
      <c r="A47" s="10" t="s">
        <v>19</v>
      </c>
      <c r="B47" s="86"/>
      <c r="C47" s="145"/>
      <c r="D47" s="107"/>
    </row>
    <row r="48" spans="1:4">
      <c r="A48" s="10" t="s">
        <v>20</v>
      </c>
      <c r="B48" s="86"/>
      <c r="C48" s="145"/>
      <c r="D48" s="107"/>
    </row>
    <row r="49" spans="1:4" ht="15.75" customHeight="1">
      <c r="A49" s="10" t="s">
        <v>23</v>
      </c>
      <c r="B49" s="86"/>
      <c r="C49" s="145"/>
      <c r="D49" s="107"/>
    </row>
    <row r="50" spans="1:4">
      <c r="A50" s="10" t="s">
        <v>18</v>
      </c>
      <c r="B50" s="86">
        <v>490.8</v>
      </c>
      <c r="C50" s="145">
        <v>545.20000000000005</v>
      </c>
      <c r="D50" s="107">
        <v>93.1</v>
      </c>
    </row>
    <row r="51" spans="1:4">
      <c r="A51" s="10" t="s">
        <v>38</v>
      </c>
      <c r="B51" s="86"/>
      <c r="C51" s="145"/>
      <c r="D51" s="107"/>
    </row>
    <row r="52" spans="1:4" ht="31.5">
      <c r="A52" s="10" t="s">
        <v>32</v>
      </c>
      <c r="B52" s="86"/>
      <c r="C52" s="145"/>
      <c r="D52" s="107"/>
    </row>
    <row r="53" spans="1:4">
      <c r="A53" s="10" t="s">
        <v>39</v>
      </c>
      <c r="B53" s="86"/>
      <c r="C53" s="145"/>
      <c r="D53" s="107"/>
    </row>
    <row r="54" spans="1:4">
      <c r="A54" s="10" t="s">
        <v>33</v>
      </c>
      <c r="B54" s="86"/>
      <c r="C54" s="145"/>
      <c r="D54" s="107"/>
    </row>
    <row r="55" spans="1:4">
      <c r="A55" s="10" t="s">
        <v>34</v>
      </c>
      <c r="B55" s="86"/>
      <c r="C55" s="145"/>
      <c r="D55" s="107"/>
    </row>
    <row r="56" spans="1:4">
      <c r="A56" s="10" t="s">
        <v>37</v>
      </c>
      <c r="B56" s="86"/>
      <c r="C56" s="145"/>
      <c r="D56" s="107"/>
    </row>
    <row r="57" spans="1:4" ht="31.5">
      <c r="A57" s="10" t="s">
        <v>35</v>
      </c>
      <c r="B57" s="86"/>
      <c r="C57" s="145"/>
      <c r="D57" s="107"/>
    </row>
    <row r="58" spans="1:4">
      <c r="A58" s="10" t="s">
        <v>36</v>
      </c>
      <c r="B58" s="86"/>
      <c r="C58" s="145"/>
      <c r="D58" s="107"/>
    </row>
    <row r="59" spans="1:4">
      <c r="A59" s="10" t="s">
        <v>30</v>
      </c>
      <c r="B59" s="86"/>
      <c r="C59" s="145"/>
      <c r="D59" s="107"/>
    </row>
    <row r="60" spans="1:4">
      <c r="A60" s="10" t="s">
        <v>78</v>
      </c>
      <c r="B60" s="86">
        <v>12</v>
      </c>
      <c r="C60" s="145"/>
      <c r="D60" s="107"/>
    </row>
    <row r="61" spans="1:4">
      <c r="A61" s="10" t="s">
        <v>21</v>
      </c>
      <c r="B61" s="86">
        <v>17.5</v>
      </c>
      <c r="C61" s="145"/>
      <c r="D61" s="107"/>
    </row>
    <row r="62" spans="1:4">
      <c r="A62" s="29" t="s">
        <v>79</v>
      </c>
      <c r="B62" s="86"/>
      <c r="C62" s="145"/>
      <c r="D62" s="107"/>
    </row>
    <row r="63" spans="1:4" s="30" customFormat="1">
      <c r="A63" s="10" t="s">
        <v>80</v>
      </c>
      <c r="B63" s="88"/>
      <c r="C63" s="147"/>
      <c r="D63" s="149"/>
    </row>
    <row r="64" spans="1:4">
      <c r="A64" s="10" t="s">
        <v>81</v>
      </c>
      <c r="B64" s="86"/>
      <c r="C64" s="145"/>
      <c r="D64" s="107"/>
    </row>
    <row r="65" spans="1:4">
      <c r="A65" s="10" t="s">
        <v>15</v>
      </c>
      <c r="B65" s="86"/>
      <c r="C65" s="145"/>
      <c r="D65" s="107"/>
    </row>
    <row r="66" spans="1:4">
      <c r="A66" s="10" t="s">
        <v>82</v>
      </c>
      <c r="B66" s="86">
        <v>20</v>
      </c>
      <c r="C66" s="107">
        <v>20</v>
      </c>
      <c r="D66" s="107">
        <v>0</v>
      </c>
    </row>
    <row r="67" spans="1:4">
      <c r="A67" s="10" t="s">
        <v>83</v>
      </c>
      <c r="B67" s="86"/>
      <c r="C67" s="107"/>
      <c r="D67" s="107"/>
    </row>
    <row r="68" spans="1:4">
      <c r="A68" s="10" t="s">
        <v>84</v>
      </c>
      <c r="B68" s="86"/>
      <c r="C68" s="107"/>
      <c r="D68" s="107"/>
    </row>
    <row r="69" spans="1:4">
      <c r="A69" s="10" t="s">
        <v>85</v>
      </c>
      <c r="B69" s="86"/>
      <c r="C69" s="107"/>
      <c r="D69" s="107"/>
    </row>
    <row r="70" spans="1:4">
      <c r="A70" s="10" t="s">
        <v>86</v>
      </c>
      <c r="B70" s="86"/>
      <c r="C70" s="107"/>
      <c r="D70" s="107"/>
    </row>
    <row r="71" spans="1:4">
      <c r="A71" s="29" t="s">
        <v>87</v>
      </c>
      <c r="B71" s="86"/>
      <c r="C71" s="145"/>
      <c r="D71" s="107"/>
    </row>
    <row r="72" spans="1:4" ht="31.5">
      <c r="A72" s="10" t="s">
        <v>88</v>
      </c>
      <c r="B72" s="86"/>
      <c r="C72" s="145"/>
      <c r="D72" s="107"/>
    </row>
    <row r="73" spans="1:4">
      <c r="A73" s="10" t="s">
        <v>89</v>
      </c>
      <c r="B73" s="86"/>
      <c r="C73" s="145"/>
      <c r="D73" s="107"/>
    </row>
    <row r="74" spans="1:4">
      <c r="A74" s="10" t="s">
        <v>90</v>
      </c>
      <c r="B74" s="86"/>
      <c r="C74" s="145"/>
      <c r="D74" s="107"/>
    </row>
    <row r="75" spans="1:4">
      <c r="A75" s="29" t="s">
        <v>91</v>
      </c>
      <c r="B75" s="86"/>
      <c r="C75" s="145"/>
      <c r="D75" s="107"/>
    </row>
    <row r="76" spans="1:4">
      <c r="A76" s="9" t="s">
        <v>92</v>
      </c>
      <c r="B76" s="86">
        <v>18</v>
      </c>
      <c r="C76" s="145">
        <v>117.9</v>
      </c>
      <c r="D76" s="107">
        <v>0</v>
      </c>
    </row>
    <row r="77" spans="1:4">
      <c r="A77" s="9" t="s">
        <v>0</v>
      </c>
      <c r="B77" s="86">
        <v>69.8</v>
      </c>
      <c r="C77" s="145">
        <v>64.8</v>
      </c>
      <c r="D77" s="107">
        <v>51.3</v>
      </c>
    </row>
    <row r="78" spans="1:4">
      <c r="A78" s="9" t="s">
        <v>1</v>
      </c>
      <c r="B78" s="86">
        <v>58.9</v>
      </c>
      <c r="C78" s="148">
        <v>68.599999999999994</v>
      </c>
      <c r="D78" s="107">
        <v>8.1999999999999993</v>
      </c>
    </row>
    <row r="79" spans="1:4">
      <c r="A79" s="9" t="s">
        <v>93</v>
      </c>
      <c r="B79" s="86"/>
      <c r="C79" s="145"/>
      <c r="D79" s="107"/>
    </row>
    <row r="80" spans="1:4">
      <c r="A80" s="9" t="s">
        <v>26</v>
      </c>
      <c r="B80" s="86"/>
      <c r="C80" s="145"/>
      <c r="D80" s="107"/>
    </row>
    <row r="81" spans="1:4">
      <c r="A81" s="9" t="s">
        <v>2</v>
      </c>
      <c r="B81" s="86">
        <v>39</v>
      </c>
      <c r="C81" s="107">
        <v>0</v>
      </c>
      <c r="D81" s="107">
        <v>0</v>
      </c>
    </row>
    <row r="82" spans="1:4">
      <c r="A82" s="9" t="s">
        <v>94</v>
      </c>
      <c r="B82" s="86"/>
      <c r="C82" s="145"/>
      <c r="D82" s="107"/>
    </row>
    <row r="83" spans="1:4">
      <c r="A83" s="9" t="s">
        <v>95</v>
      </c>
      <c r="B83" s="86">
        <v>6</v>
      </c>
      <c r="C83" s="150">
        <v>6</v>
      </c>
      <c r="D83" s="107">
        <v>0</v>
      </c>
    </row>
    <row r="84" spans="1:4">
      <c r="A84" s="8" t="s">
        <v>96</v>
      </c>
      <c r="B84" s="86"/>
      <c r="C84" s="146"/>
      <c r="D84" s="107"/>
    </row>
    <row r="85" spans="1:4" ht="15.75" customHeight="1">
      <c r="A85" s="10" t="s">
        <v>97</v>
      </c>
      <c r="B85" s="86"/>
      <c r="C85" s="148"/>
      <c r="D85" s="107"/>
    </row>
    <row r="86" spans="1:4">
      <c r="A86" s="10" t="s">
        <v>98</v>
      </c>
      <c r="B86" s="86"/>
      <c r="C86" s="145"/>
      <c r="D86" s="107"/>
    </row>
    <row r="87" spans="1:4">
      <c r="A87" s="10" t="s">
        <v>99</v>
      </c>
      <c r="B87" s="86"/>
      <c r="C87" s="145"/>
      <c r="D87" s="107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AK151"/>
  <sheetViews>
    <sheetView zoomScale="70" zoomScaleNormal="70" zoomScaleSheetLayoutView="8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C9" sqref="C9"/>
    </sheetView>
  </sheetViews>
  <sheetFormatPr defaultRowHeight="15.75"/>
  <cols>
    <col min="1" max="1" width="56.5703125" style="1" customWidth="1"/>
    <col min="2" max="2" width="16" style="17" customWidth="1"/>
    <col min="3" max="3" width="16.28515625" style="4" customWidth="1"/>
    <col min="4" max="4" width="16.5703125" style="4" customWidth="1"/>
    <col min="5" max="5" width="13.85546875" style="1" customWidth="1"/>
    <col min="6" max="6" width="13.42578125" style="1" customWidth="1"/>
    <col min="7" max="7" width="15.42578125" style="1" customWidth="1"/>
    <col min="8" max="8" width="18" style="1" customWidth="1"/>
    <col min="9" max="9" width="15.85546875" style="1" customWidth="1"/>
    <col min="10" max="10" width="15.42578125" style="1" customWidth="1"/>
    <col min="11" max="11" width="14.140625" style="1" customWidth="1"/>
    <col min="12" max="12" width="13.7109375" style="1" customWidth="1"/>
    <col min="13" max="13" width="12" style="1" customWidth="1"/>
    <col min="14" max="14" width="17" style="1" customWidth="1"/>
    <col min="15" max="15" width="16.5703125" style="1" customWidth="1"/>
    <col min="16" max="16" width="15" style="1" customWidth="1"/>
    <col min="17" max="17" width="16.28515625" style="1" customWidth="1"/>
    <col min="18" max="18" width="17.42578125" style="1" customWidth="1"/>
    <col min="19" max="19" width="15.140625" style="1" customWidth="1"/>
    <col min="20" max="20" width="16.5703125" style="1" customWidth="1"/>
    <col min="21" max="21" width="16.28515625" style="1" customWidth="1"/>
    <col min="22" max="22" width="15.85546875" style="1" customWidth="1"/>
    <col min="23" max="23" width="14.42578125" style="1" customWidth="1"/>
    <col min="24" max="24" width="15.5703125" style="1" customWidth="1"/>
    <col min="25" max="26" width="14.42578125" style="1" customWidth="1"/>
    <col min="27" max="27" width="13.7109375" style="1" customWidth="1"/>
    <col min="28" max="28" width="12" style="1" customWidth="1"/>
    <col min="29" max="29" width="17.28515625" style="1" customWidth="1"/>
    <col min="30" max="30" width="16.140625" style="1" customWidth="1"/>
    <col min="31" max="31" width="13" style="1" customWidth="1"/>
    <col min="32" max="32" width="12" style="1" hidden="1" customWidth="1"/>
    <col min="33" max="33" width="12.7109375" style="1" hidden="1" customWidth="1"/>
    <col min="34" max="34" width="12" style="1" hidden="1" customWidth="1"/>
    <col min="35" max="35" width="9.140625" style="1"/>
    <col min="36" max="36" width="15.7109375" style="1" bestFit="1" customWidth="1"/>
    <col min="37" max="37" width="12.42578125" style="1" bestFit="1" customWidth="1"/>
    <col min="38" max="16384" width="9.140625" style="1"/>
  </cols>
  <sheetData>
    <row r="1" spans="1:37">
      <c r="C1" s="4" t="s">
        <v>53</v>
      </c>
    </row>
    <row r="2" spans="1:37" ht="18.75">
      <c r="A2" s="190" t="s">
        <v>43</v>
      </c>
      <c r="B2" s="190"/>
      <c r="C2" s="191"/>
      <c r="D2" s="191"/>
    </row>
    <row r="3" spans="1:37">
      <c r="A3" s="192" t="s">
        <v>44</v>
      </c>
      <c r="B3" s="192"/>
      <c r="C3" s="192"/>
      <c r="D3" s="192"/>
    </row>
    <row r="4" spans="1:37">
      <c r="A4" s="193"/>
      <c r="B4" s="193"/>
      <c r="C4" s="193"/>
      <c r="D4" s="193"/>
    </row>
    <row r="5" spans="1:37">
      <c r="A5" s="194" t="s">
        <v>42</v>
      </c>
      <c r="B5" s="194"/>
      <c r="C5" s="194"/>
      <c r="D5" s="194"/>
    </row>
    <row r="6" spans="1:37">
      <c r="A6" s="2"/>
      <c r="B6" s="206" t="s">
        <v>54</v>
      </c>
      <c r="C6" s="207"/>
      <c r="D6" s="207"/>
      <c r="E6" s="196" t="s">
        <v>55</v>
      </c>
      <c r="F6" s="197"/>
      <c r="G6" s="197"/>
      <c r="H6" s="196" t="s">
        <v>56</v>
      </c>
      <c r="I6" s="197"/>
      <c r="J6" s="197"/>
      <c r="K6" s="196" t="s">
        <v>57</v>
      </c>
      <c r="L6" s="197"/>
      <c r="M6" s="197"/>
      <c r="N6" s="208" t="s">
        <v>58</v>
      </c>
      <c r="O6" s="209"/>
      <c r="P6" s="209"/>
      <c r="Q6" s="196" t="s">
        <v>59</v>
      </c>
      <c r="R6" s="197"/>
      <c r="S6" s="197"/>
      <c r="T6" s="196" t="s">
        <v>60</v>
      </c>
      <c r="U6" s="197"/>
      <c r="V6" s="197"/>
      <c r="W6" s="196" t="s">
        <v>61</v>
      </c>
      <c r="X6" s="197"/>
      <c r="Y6" s="197"/>
      <c r="Z6" s="196" t="s">
        <v>62</v>
      </c>
      <c r="AA6" s="197"/>
      <c r="AB6" s="197"/>
      <c r="AC6" s="196" t="s">
        <v>63</v>
      </c>
      <c r="AD6" s="197"/>
      <c r="AE6" s="197"/>
      <c r="AF6" s="206" t="s">
        <v>64</v>
      </c>
      <c r="AG6" s="207"/>
      <c r="AH6" s="207"/>
    </row>
    <row r="7" spans="1:37" ht="15.75" customHeight="1">
      <c r="A7" s="200" t="s">
        <v>49</v>
      </c>
      <c r="B7" s="198" t="s">
        <v>113</v>
      </c>
      <c r="C7" s="200" t="s">
        <v>116</v>
      </c>
      <c r="D7" s="202" t="s">
        <v>115</v>
      </c>
      <c r="E7" s="198" t="s">
        <v>113</v>
      </c>
      <c r="F7" s="200" t="s">
        <v>116</v>
      </c>
      <c r="G7" s="202" t="s">
        <v>115</v>
      </c>
      <c r="H7" s="198" t="s">
        <v>113</v>
      </c>
      <c r="I7" s="200" t="s">
        <v>116</v>
      </c>
      <c r="J7" s="202" t="s">
        <v>115</v>
      </c>
      <c r="K7" s="198" t="s">
        <v>110</v>
      </c>
      <c r="L7" s="200" t="s">
        <v>116</v>
      </c>
      <c r="M7" s="202" t="s">
        <v>115</v>
      </c>
      <c r="N7" s="198" t="s">
        <v>113</v>
      </c>
      <c r="O7" s="200" t="s">
        <v>116</v>
      </c>
      <c r="P7" s="202" t="s">
        <v>115</v>
      </c>
      <c r="Q7" s="198" t="s">
        <v>113</v>
      </c>
      <c r="R7" s="200" t="s">
        <v>116</v>
      </c>
      <c r="S7" s="202" t="s">
        <v>115</v>
      </c>
      <c r="T7" s="198" t="s">
        <v>113</v>
      </c>
      <c r="U7" s="200" t="s">
        <v>116</v>
      </c>
      <c r="V7" s="202" t="s">
        <v>115</v>
      </c>
      <c r="W7" s="198" t="s">
        <v>113</v>
      </c>
      <c r="X7" s="200" t="s">
        <v>116</v>
      </c>
      <c r="Y7" s="202" t="s">
        <v>115</v>
      </c>
      <c r="Z7" s="198" t="s">
        <v>110</v>
      </c>
      <c r="AA7" s="200" t="s">
        <v>116</v>
      </c>
      <c r="AB7" s="202" t="s">
        <v>115</v>
      </c>
      <c r="AC7" s="198" t="s">
        <v>110</v>
      </c>
      <c r="AD7" s="200" t="s">
        <v>116</v>
      </c>
      <c r="AE7" s="202" t="s">
        <v>115</v>
      </c>
      <c r="AF7" s="198" t="s">
        <v>51</v>
      </c>
      <c r="AG7" s="200" t="s">
        <v>50</v>
      </c>
      <c r="AH7" s="202" t="s">
        <v>52</v>
      </c>
    </row>
    <row r="8" spans="1:37" ht="78" customHeight="1">
      <c r="A8" s="201"/>
      <c r="B8" s="199"/>
      <c r="C8" s="201"/>
      <c r="D8" s="203"/>
      <c r="E8" s="199"/>
      <c r="F8" s="201"/>
      <c r="G8" s="203"/>
      <c r="H8" s="199"/>
      <c r="I8" s="201"/>
      <c r="J8" s="203"/>
      <c r="K8" s="199"/>
      <c r="L8" s="201"/>
      <c r="M8" s="203"/>
      <c r="N8" s="199"/>
      <c r="O8" s="201"/>
      <c r="P8" s="203"/>
      <c r="Q8" s="199"/>
      <c r="R8" s="201"/>
      <c r="S8" s="203"/>
      <c r="T8" s="199"/>
      <c r="U8" s="201"/>
      <c r="V8" s="203"/>
      <c r="W8" s="199"/>
      <c r="X8" s="201"/>
      <c r="Y8" s="203"/>
      <c r="Z8" s="199"/>
      <c r="AA8" s="201"/>
      <c r="AB8" s="203"/>
      <c r="AC8" s="199"/>
      <c r="AD8" s="201"/>
      <c r="AE8" s="203"/>
      <c r="AF8" s="199"/>
      <c r="AG8" s="201"/>
      <c r="AH8" s="203"/>
    </row>
    <row r="9" spans="1:37">
      <c r="A9" s="110">
        <v>1</v>
      </c>
      <c r="B9" s="110">
        <v>2</v>
      </c>
      <c r="C9" s="110">
        <v>3</v>
      </c>
      <c r="D9" s="117">
        <v>4</v>
      </c>
      <c r="E9" s="152">
        <v>2</v>
      </c>
      <c r="F9" s="176">
        <v>3</v>
      </c>
      <c r="G9" s="177">
        <v>4</v>
      </c>
      <c r="H9" s="152">
        <v>2</v>
      </c>
      <c r="I9" s="176">
        <v>3</v>
      </c>
      <c r="J9" s="177">
        <v>4</v>
      </c>
      <c r="K9" s="152">
        <v>2</v>
      </c>
      <c r="L9" s="20">
        <v>3</v>
      </c>
      <c r="M9" s="21">
        <v>4</v>
      </c>
      <c r="N9" s="152">
        <v>2</v>
      </c>
      <c r="O9" s="110">
        <v>3</v>
      </c>
      <c r="P9" s="117">
        <v>4</v>
      </c>
      <c r="Q9" s="152">
        <v>2</v>
      </c>
      <c r="R9" s="170">
        <v>3</v>
      </c>
      <c r="S9" s="171">
        <v>4</v>
      </c>
      <c r="T9" s="152">
        <v>2</v>
      </c>
      <c r="U9" s="176">
        <v>3</v>
      </c>
      <c r="V9" s="177">
        <v>4</v>
      </c>
      <c r="W9" s="152">
        <v>2</v>
      </c>
      <c r="X9" s="118">
        <v>3</v>
      </c>
      <c r="Y9" s="119">
        <v>4</v>
      </c>
      <c r="Z9" s="152">
        <v>2</v>
      </c>
      <c r="AA9" s="176">
        <v>3</v>
      </c>
      <c r="AB9" s="177">
        <v>4</v>
      </c>
      <c r="AC9" s="152">
        <v>2</v>
      </c>
      <c r="AD9" s="166">
        <v>3</v>
      </c>
      <c r="AE9" s="167">
        <v>4</v>
      </c>
      <c r="AF9" s="15">
        <v>2</v>
      </c>
      <c r="AG9" s="110">
        <v>3</v>
      </c>
      <c r="AH9" s="117">
        <v>4</v>
      </c>
    </row>
    <row r="10" spans="1:37" ht="25.5">
      <c r="A10" s="7" t="s">
        <v>68</v>
      </c>
      <c r="B10" s="25">
        <f>B15+B17+B18+B19+B20+B22+B23+B24+B25+B26+B28+B30+B31+B32+B33+B34+B35+B36+B37+B38+B39+B40+B42+B44+B45+B48+B49+B50+B60+B61+B62+B64+B65+B67+B69+B71+B77+B78+B79+B81+B82+B83+B84+B87+B88+B59+B80</f>
        <v>45321.01999999999</v>
      </c>
      <c r="C10" s="25">
        <f>F10+I10+L10+O10+R10+U10+X10+AA10+AD10</f>
        <v>24093.199999999997</v>
      </c>
      <c r="D10" s="25">
        <f>SUM(D11:D88)</f>
        <v>3149.8999999999996</v>
      </c>
      <c r="E10" s="144">
        <f>E16+E29+E63+E72+E76+E85+E62</f>
        <v>176.79999999999998</v>
      </c>
      <c r="F10" s="178">
        <f>F16+F29+F63+F72+F76+F85+F62+F11</f>
        <v>182.49999999999997</v>
      </c>
      <c r="G10" s="178">
        <f>G16+G29+G63+G72+G76+G85+G62</f>
        <v>10.8</v>
      </c>
      <c r="H10" s="112">
        <f>SUM(H11:H88)</f>
        <v>11429.900000000001</v>
      </c>
      <c r="I10" s="112">
        <f>SUM(I11:I88)</f>
        <v>5662.4</v>
      </c>
      <c r="J10" s="112">
        <f>SUM(J11:J88)</f>
        <v>618.4000000000002</v>
      </c>
      <c r="K10" s="121">
        <f>K16+K29+K63+K72+K76</f>
        <v>317.21600000000001</v>
      </c>
      <c r="L10" s="121">
        <f>L16+L29+L63+L72+L76</f>
        <v>396.9</v>
      </c>
      <c r="M10" s="121">
        <f>M16+M29+M63+M72+M76</f>
        <v>11.4</v>
      </c>
      <c r="N10" s="144">
        <f>SUM(N11:N88)</f>
        <v>764.3</v>
      </c>
      <c r="O10" s="178">
        <f>SUM(O11:O88)</f>
        <v>988.69999999999993</v>
      </c>
      <c r="P10" s="178">
        <f>SUM(P11:P88)</f>
        <v>45.999999999999993</v>
      </c>
      <c r="Q10" s="144">
        <v>7042.0999999999985</v>
      </c>
      <c r="R10" s="172">
        <v>4959.0999999999995</v>
      </c>
      <c r="S10" s="172">
        <v>494</v>
      </c>
      <c r="T10" s="63">
        <f t="shared" ref="T10" si="0">SUM(T11:T88)</f>
        <v>22749.000000000004</v>
      </c>
      <c r="U10" s="63">
        <v>9443.6</v>
      </c>
      <c r="V10" s="63">
        <v>1356.7</v>
      </c>
      <c r="W10" s="132">
        <v>3.1</v>
      </c>
      <c r="X10" s="132">
        <v>0</v>
      </c>
      <c r="Y10" s="132">
        <v>0</v>
      </c>
      <c r="Z10" s="67">
        <f>SUM(Z11:Z88)</f>
        <v>396.59999999999997</v>
      </c>
      <c r="AA10" s="178">
        <v>415.79999999999995</v>
      </c>
      <c r="AB10" s="188">
        <v>21.3</v>
      </c>
      <c r="AC10" s="137">
        <v>2442</v>
      </c>
      <c r="AD10" s="158">
        <v>2044.2</v>
      </c>
      <c r="AE10" s="158">
        <v>591.30000000000007</v>
      </c>
      <c r="AF10" s="16" t="e">
        <f>AF11+AF15+AF17+AF33+AF65+AF68+AF70+AF80+AF81+AF82+#REF!+#REF!+#REF!+#REF!+#REF!</f>
        <v>#REF!</v>
      </c>
      <c r="AG10" s="13" t="e">
        <f>AG11+AG15+AG17+AG33+AG65+AG68+AG70+AG80+AG81+AG82+#REF!+#REF!+#REF!+#REF!+#REF!</f>
        <v>#REF!</v>
      </c>
      <c r="AH10" s="13" t="e">
        <f>AH11+AH15+AH17+AH33+AH65+AH68+AH70+AH80+AH81+AH82+#REF!+#REF!+#REF!+#REF!+#REF!</f>
        <v>#REF!</v>
      </c>
      <c r="AJ10" s="12">
        <f>AD10+AA10+X10+U10+R10+O10+L10+I10+F10</f>
        <v>24093.200000000004</v>
      </c>
      <c r="AK10" s="12">
        <f>AJ10-C10</f>
        <v>0</v>
      </c>
    </row>
    <row r="11" spans="1:37" s="6" customFormat="1">
      <c r="A11" s="7" t="s">
        <v>69</v>
      </c>
      <c r="B11" s="39"/>
      <c r="C11" s="43">
        <f t="shared" ref="C11" si="1">F11+I11+L11+O11+R11+U11+X11+AA11+AD11</f>
        <v>0</v>
      </c>
      <c r="D11" s="43">
        <f t="shared" ref="D11" si="2">G11+J11+M11+P11+S11+V11+Y11+AB11+AE11</f>
        <v>0</v>
      </c>
      <c r="E11" s="144"/>
      <c r="F11" s="178">
        <f>F14</f>
        <v>0</v>
      </c>
      <c r="G11" s="178"/>
      <c r="H11" s="112"/>
      <c r="I11" s="112"/>
      <c r="J11" s="112"/>
      <c r="K11" s="121"/>
      <c r="L11" s="121"/>
      <c r="M11" s="121"/>
      <c r="N11" s="144"/>
      <c r="O11" s="178"/>
      <c r="P11" s="178"/>
      <c r="Q11" s="144"/>
      <c r="R11" s="172"/>
      <c r="S11" s="172"/>
      <c r="T11" s="63"/>
      <c r="U11" s="63"/>
      <c r="V11" s="63"/>
      <c r="W11" s="132"/>
      <c r="X11" s="132"/>
      <c r="Y11" s="132"/>
      <c r="Z11" s="144"/>
      <c r="AA11" s="178"/>
      <c r="AB11" s="178"/>
      <c r="AC11" s="138"/>
      <c r="AD11" s="159"/>
      <c r="AE11" s="159"/>
      <c r="AF11" s="16">
        <f t="shared" ref="AF11:AG11" si="3">AF14+AF13+AF12</f>
        <v>0</v>
      </c>
      <c r="AG11" s="13">
        <f t="shared" si="3"/>
        <v>0</v>
      </c>
      <c r="AH11" s="13">
        <f>AH14+AH13+AH12</f>
        <v>0</v>
      </c>
      <c r="AJ11" s="12">
        <f t="shared" ref="AJ11:AJ74" si="4">AD11+AA11+X11+U11+R11+O11+L11+I11+F11</f>
        <v>0</v>
      </c>
      <c r="AK11" s="12">
        <f t="shared" ref="AK11:AK74" si="5">AJ11-C11</f>
        <v>0</v>
      </c>
    </row>
    <row r="12" spans="1:37">
      <c r="A12" s="9" t="s">
        <v>70</v>
      </c>
      <c r="B12" s="39">
        <f t="shared" ref="B12:B14" si="6">E12+H12+K12+N12+Q12+T12+W12+Z12+AC12</f>
        <v>0</v>
      </c>
      <c r="C12" s="43">
        <f>F12+I12+L12+O12+R12+U12+X12+AA12+AD12</f>
        <v>0</v>
      </c>
      <c r="D12" s="43">
        <f t="shared" ref="D12:D15" si="7">G12+J12+M12+P12+S12+V12+Y12+AB12+AE12</f>
        <v>0</v>
      </c>
      <c r="E12" s="145"/>
      <c r="F12" s="180"/>
      <c r="G12" s="180"/>
      <c r="H12" s="113"/>
      <c r="I12" s="113"/>
      <c r="J12" s="113"/>
      <c r="K12" s="122"/>
      <c r="L12" s="122"/>
      <c r="M12" s="122"/>
      <c r="N12" s="145"/>
      <c r="O12" s="180"/>
      <c r="P12" s="180"/>
      <c r="Q12" s="145">
        <v>0</v>
      </c>
      <c r="R12" s="173">
        <v>0</v>
      </c>
      <c r="S12" s="173">
        <v>0</v>
      </c>
      <c r="T12" s="64"/>
      <c r="U12" s="64"/>
      <c r="V12" s="64"/>
      <c r="W12" s="133"/>
      <c r="X12" s="133"/>
      <c r="Y12" s="133"/>
      <c r="Z12" s="145"/>
      <c r="AA12" s="180"/>
      <c r="AB12" s="180"/>
      <c r="AC12" s="139"/>
      <c r="AD12" s="160"/>
      <c r="AE12" s="160"/>
      <c r="AF12" s="18">
        <v>0</v>
      </c>
      <c r="AG12" s="19">
        <v>0</v>
      </c>
      <c r="AH12" s="19">
        <v>0</v>
      </c>
      <c r="AJ12" s="12">
        <f t="shared" si="4"/>
        <v>0</v>
      </c>
      <c r="AK12" s="12">
        <f t="shared" si="5"/>
        <v>0</v>
      </c>
    </row>
    <row r="13" spans="1:37">
      <c r="A13" s="9" t="s">
        <v>27</v>
      </c>
      <c r="B13" s="39">
        <f t="shared" si="6"/>
        <v>0</v>
      </c>
      <c r="C13" s="43">
        <f t="shared" ref="C13:C16" si="8">F13+I13+L13+O13+R13+U13+X13+AA13+AD13</f>
        <v>0</v>
      </c>
      <c r="D13" s="43">
        <f t="shared" si="7"/>
        <v>0</v>
      </c>
      <c r="E13" s="145"/>
      <c r="F13" s="180"/>
      <c r="G13" s="180"/>
      <c r="H13" s="113"/>
      <c r="I13" s="113"/>
      <c r="J13" s="113"/>
      <c r="K13" s="122"/>
      <c r="L13" s="122"/>
      <c r="M13" s="122"/>
      <c r="N13" s="145"/>
      <c r="O13" s="180"/>
      <c r="P13" s="180"/>
      <c r="Q13" s="145">
        <v>0</v>
      </c>
      <c r="R13" s="173">
        <v>0</v>
      </c>
      <c r="S13" s="173">
        <v>0</v>
      </c>
      <c r="T13" s="64"/>
      <c r="U13" s="64"/>
      <c r="V13" s="64"/>
      <c r="W13" s="133"/>
      <c r="X13" s="133"/>
      <c r="Y13" s="133"/>
      <c r="Z13" s="145"/>
      <c r="AA13" s="180"/>
      <c r="AB13" s="180"/>
      <c r="AC13" s="139"/>
      <c r="AD13" s="160"/>
      <c r="AE13" s="160"/>
      <c r="AF13" s="18">
        <v>0</v>
      </c>
      <c r="AG13" s="19">
        <v>0</v>
      </c>
      <c r="AH13" s="19">
        <v>0</v>
      </c>
      <c r="AJ13" s="12">
        <f t="shared" si="4"/>
        <v>0</v>
      </c>
      <c r="AK13" s="12">
        <f t="shared" si="5"/>
        <v>0</v>
      </c>
    </row>
    <row r="14" spans="1:37" ht="31.5">
      <c r="A14" s="9" t="s">
        <v>71</v>
      </c>
      <c r="B14" s="39">
        <f t="shared" si="6"/>
        <v>0</v>
      </c>
      <c r="C14" s="43">
        <f t="shared" si="8"/>
        <v>0</v>
      </c>
      <c r="D14" s="43">
        <f t="shared" si="7"/>
        <v>0</v>
      </c>
      <c r="E14" s="145"/>
      <c r="F14" s="180">
        <v>0</v>
      </c>
      <c r="G14" s="180"/>
      <c r="H14" s="113"/>
      <c r="I14" s="113"/>
      <c r="J14" s="113"/>
      <c r="K14" s="122"/>
      <c r="L14" s="122"/>
      <c r="M14" s="122"/>
      <c r="N14" s="145"/>
      <c r="O14" s="180"/>
      <c r="P14" s="180"/>
      <c r="Q14" s="145">
        <v>0</v>
      </c>
      <c r="R14" s="173">
        <v>0</v>
      </c>
      <c r="S14" s="173">
        <v>0</v>
      </c>
      <c r="T14" s="64"/>
      <c r="U14" s="64"/>
      <c r="V14" s="64"/>
      <c r="W14" s="133"/>
      <c r="X14" s="133"/>
      <c r="Y14" s="133"/>
      <c r="Z14" s="145"/>
      <c r="AA14" s="180"/>
      <c r="AB14" s="180"/>
      <c r="AC14" s="139"/>
      <c r="AD14" s="160"/>
      <c r="AE14" s="160"/>
      <c r="AF14" s="18">
        <v>0</v>
      </c>
      <c r="AG14" s="19">
        <v>0</v>
      </c>
      <c r="AH14" s="19">
        <v>0</v>
      </c>
      <c r="AJ14" s="12">
        <f t="shared" si="4"/>
        <v>0</v>
      </c>
      <c r="AK14" s="12">
        <f t="shared" si="5"/>
        <v>0</v>
      </c>
    </row>
    <row r="15" spans="1:37" s="6" customFormat="1">
      <c r="A15" s="9" t="s">
        <v>5</v>
      </c>
      <c r="B15" s="39">
        <v>355.9</v>
      </c>
      <c r="C15" s="43">
        <f t="shared" si="8"/>
        <v>310.2</v>
      </c>
      <c r="D15" s="43">
        <f t="shared" si="7"/>
        <v>0</v>
      </c>
      <c r="E15" s="145"/>
      <c r="F15" s="180"/>
      <c r="G15" s="180"/>
      <c r="H15" s="113">
        <v>355.9</v>
      </c>
      <c r="I15" s="113">
        <v>310.2</v>
      </c>
      <c r="J15" s="113"/>
      <c r="K15" s="122"/>
      <c r="L15" s="122"/>
      <c r="M15" s="122"/>
      <c r="N15" s="145"/>
      <c r="O15" s="180"/>
      <c r="P15" s="180"/>
      <c r="Q15" s="145">
        <v>0</v>
      </c>
      <c r="R15" s="173">
        <v>0</v>
      </c>
      <c r="S15" s="173">
        <v>0</v>
      </c>
      <c r="T15" s="64"/>
      <c r="U15" s="64"/>
      <c r="V15" s="64"/>
      <c r="W15" s="133"/>
      <c r="X15" s="133"/>
      <c r="Y15" s="133"/>
      <c r="Z15" s="145"/>
      <c r="AA15" s="180"/>
      <c r="AB15" s="180"/>
      <c r="AC15" s="139"/>
      <c r="AD15" s="160"/>
      <c r="AE15" s="160"/>
      <c r="AF15" s="16">
        <f t="shared" ref="AF15:AH15" si="9">AF16</f>
        <v>0</v>
      </c>
      <c r="AG15" s="13">
        <f t="shared" si="9"/>
        <v>0</v>
      </c>
      <c r="AH15" s="13">
        <f t="shared" si="9"/>
        <v>0</v>
      </c>
      <c r="AJ15" s="12">
        <f t="shared" si="4"/>
        <v>310.2</v>
      </c>
      <c r="AK15" s="12">
        <f t="shared" si="5"/>
        <v>0</v>
      </c>
    </row>
    <row r="16" spans="1:37">
      <c r="A16" s="8" t="s">
        <v>72</v>
      </c>
      <c r="B16" s="39"/>
      <c r="C16" s="43">
        <f t="shared" si="8"/>
        <v>633.79999999999995</v>
      </c>
      <c r="D16" s="43"/>
      <c r="E16" s="27">
        <v>9.5</v>
      </c>
      <c r="F16" s="179">
        <f>F24</f>
        <v>7.2</v>
      </c>
      <c r="G16" s="179">
        <f>G24</f>
        <v>0</v>
      </c>
      <c r="H16" s="113"/>
      <c r="I16" s="113"/>
      <c r="J16" s="113"/>
      <c r="K16" s="123">
        <f>K24</f>
        <v>9.3000000000000007</v>
      </c>
      <c r="L16" s="123">
        <f>L24</f>
        <v>13.1</v>
      </c>
      <c r="M16" s="123">
        <f>M24</f>
        <v>0</v>
      </c>
      <c r="N16" s="43"/>
      <c r="O16" s="183"/>
      <c r="P16" s="183"/>
      <c r="Q16" s="145">
        <v>0</v>
      </c>
      <c r="R16" s="173">
        <v>0</v>
      </c>
      <c r="S16" s="173">
        <v>0</v>
      </c>
      <c r="T16" s="64"/>
      <c r="U16" s="64"/>
      <c r="V16" s="64"/>
      <c r="W16" s="133"/>
      <c r="X16" s="133"/>
      <c r="Y16" s="133"/>
      <c r="Z16" s="43"/>
      <c r="AA16" s="183"/>
      <c r="AB16" s="183"/>
      <c r="AC16" s="143">
        <v>341.5</v>
      </c>
      <c r="AD16" s="165">
        <v>613.5</v>
      </c>
      <c r="AE16" s="165">
        <v>455.8</v>
      </c>
      <c r="AF16" s="18">
        <v>0</v>
      </c>
      <c r="AG16" s="19">
        <v>0</v>
      </c>
      <c r="AH16" s="19">
        <v>0</v>
      </c>
      <c r="AJ16" s="12">
        <f t="shared" si="4"/>
        <v>633.80000000000007</v>
      </c>
      <c r="AK16" s="12">
        <f t="shared" si="5"/>
        <v>0</v>
      </c>
    </row>
    <row r="17" spans="1:37" s="6" customFormat="1" ht="31.5">
      <c r="A17" s="9" t="s">
        <v>40</v>
      </c>
      <c r="B17" s="39">
        <v>2945.5</v>
      </c>
      <c r="C17" s="43">
        <f t="shared" ref="C17:C28" si="10">F17+I17+L17+O17+R17+U17+X17+AA17+AD17</f>
        <v>2092.6999999999998</v>
      </c>
      <c r="D17" s="43">
        <f t="shared" ref="D17:D28" si="11">G17+J17+M17+P17+S17+V17+Y17+AB17+AE17</f>
        <v>228.8</v>
      </c>
      <c r="E17" s="27"/>
      <c r="F17" s="179"/>
      <c r="G17" s="179"/>
      <c r="H17" s="114"/>
      <c r="I17" s="114"/>
      <c r="J17" s="114"/>
      <c r="K17" s="123"/>
      <c r="L17" s="123"/>
      <c r="M17" s="123"/>
      <c r="N17" s="27"/>
      <c r="O17" s="179"/>
      <c r="P17" s="179"/>
      <c r="Q17" s="145">
        <v>385.7</v>
      </c>
      <c r="R17" s="173">
        <v>650.70000000000005</v>
      </c>
      <c r="S17" s="173">
        <v>24.4</v>
      </c>
      <c r="T17" s="64">
        <v>2424.1</v>
      </c>
      <c r="U17" s="64">
        <v>1300</v>
      </c>
      <c r="V17" s="64">
        <v>193.9</v>
      </c>
      <c r="W17" s="134"/>
      <c r="X17" s="134"/>
      <c r="Y17" s="134"/>
      <c r="Z17" s="59">
        <v>135.69999999999999</v>
      </c>
      <c r="AA17" s="180">
        <v>142</v>
      </c>
      <c r="AB17" s="187">
        <v>10.5</v>
      </c>
      <c r="AC17" s="140">
        <v>0</v>
      </c>
      <c r="AD17" s="161">
        <v>0</v>
      </c>
      <c r="AE17" s="161">
        <v>0</v>
      </c>
      <c r="AF17" s="16">
        <f t="shared" ref="AF17:AH17" si="12">SUM(AF18:AF32)</f>
        <v>0</v>
      </c>
      <c r="AG17" s="13">
        <f t="shared" si="12"/>
        <v>0</v>
      </c>
      <c r="AH17" s="13">
        <f t="shared" si="12"/>
        <v>0</v>
      </c>
      <c r="AJ17" s="12">
        <f t="shared" si="4"/>
        <v>2092.6999999999998</v>
      </c>
      <c r="AK17" s="12">
        <f t="shared" si="5"/>
        <v>0</v>
      </c>
    </row>
    <row r="18" spans="1:37" s="6" customFormat="1" ht="18.75" customHeight="1">
      <c r="A18" s="9" t="s">
        <v>41</v>
      </c>
      <c r="B18" s="39">
        <v>690.2</v>
      </c>
      <c r="C18" s="43">
        <f t="shared" si="10"/>
        <v>798.09999999999991</v>
      </c>
      <c r="D18" s="43">
        <f t="shared" si="11"/>
        <v>0.5</v>
      </c>
      <c r="E18" s="27"/>
      <c r="F18" s="179"/>
      <c r="G18" s="179"/>
      <c r="H18" s="114"/>
      <c r="I18" s="114"/>
      <c r="J18" s="114"/>
      <c r="K18" s="123"/>
      <c r="L18" s="123"/>
      <c r="M18" s="123"/>
      <c r="N18" s="27"/>
      <c r="O18" s="179"/>
      <c r="P18" s="179"/>
      <c r="Q18" s="145">
        <v>94</v>
      </c>
      <c r="R18" s="173">
        <v>157.80000000000001</v>
      </c>
      <c r="S18" s="173">
        <v>0</v>
      </c>
      <c r="T18" s="64">
        <v>575.5</v>
      </c>
      <c r="U18" s="64">
        <v>616.29999999999995</v>
      </c>
      <c r="V18" s="64">
        <v>0</v>
      </c>
      <c r="W18" s="134"/>
      <c r="X18" s="134"/>
      <c r="Y18" s="134"/>
      <c r="Z18" s="59">
        <v>20.7</v>
      </c>
      <c r="AA18" s="180">
        <v>24</v>
      </c>
      <c r="AB18" s="187">
        <v>0.5</v>
      </c>
      <c r="AC18" s="141"/>
      <c r="AD18" s="162"/>
      <c r="AE18" s="162"/>
      <c r="AF18" s="18">
        <v>0</v>
      </c>
      <c r="AG18" s="19">
        <v>0</v>
      </c>
      <c r="AH18" s="19">
        <v>0</v>
      </c>
      <c r="AJ18" s="12">
        <f t="shared" si="4"/>
        <v>798.09999999999991</v>
      </c>
      <c r="AK18" s="12">
        <f t="shared" si="5"/>
        <v>0</v>
      </c>
    </row>
    <row r="19" spans="1:37" s="6" customFormat="1" ht="31.5">
      <c r="A19" s="9" t="s">
        <v>6</v>
      </c>
      <c r="B19" s="39">
        <v>1600.6</v>
      </c>
      <c r="C19" s="43">
        <f t="shared" si="10"/>
        <v>1812.3</v>
      </c>
      <c r="D19" s="43">
        <f t="shared" si="11"/>
        <v>197.6</v>
      </c>
      <c r="E19" s="145"/>
      <c r="F19" s="180"/>
      <c r="G19" s="180"/>
      <c r="H19" s="113"/>
      <c r="I19" s="113"/>
      <c r="J19" s="113"/>
      <c r="K19" s="122"/>
      <c r="L19" s="122"/>
      <c r="M19" s="122"/>
      <c r="N19" s="145"/>
      <c r="O19" s="180"/>
      <c r="P19" s="180"/>
      <c r="Q19" s="145">
        <v>1600.6</v>
      </c>
      <c r="R19" s="173">
        <v>1812.3</v>
      </c>
      <c r="S19" s="173">
        <v>197.6</v>
      </c>
      <c r="T19" s="64"/>
      <c r="U19" s="64"/>
      <c r="V19" s="64"/>
      <c r="W19" s="133"/>
      <c r="X19" s="133"/>
      <c r="Y19" s="133"/>
      <c r="Z19" s="59"/>
      <c r="AA19" s="180"/>
      <c r="AB19" s="187"/>
      <c r="AC19" s="140">
        <v>0</v>
      </c>
      <c r="AD19" s="161">
        <v>0</v>
      </c>
      <c r="AE19" s="161">
        <v>0</v>
      </c>
      <c r="AF19" s="18">
        <v>0</v>
      </c>
      <c r="AG19" s="19">
        <v>0</v>
      </c>
      <c r="AH19" s="19">
        <v>0</v>
      </c>
      <c r="AJ19" s="12">
        <f t="shared" si="4"/>
        <v>1812.3</v>
      </c>
      <c r="AK19" s="12">
        <f t="shared" si="5"/>
        <v>0</v>
      </c>
    </row>
    <row r="20" spans="1:37">
      <c r="A20" s="9" t="s">
        <v>29</v>
      </c>
      <c r="B20" s="39">
        <f t="shared" ref="B20:B27" si="13">E20+H20+K20+N20+Q20+T20+W20+Z20+AC20</f>
        <v>0</v>
      </c>
      <c r="C20" s="43">
        <f t="shared" si="10"/>
        <v>0</v>
      </c>
      <c r="D20" s="43">
        <f t="shared" si="11"/>
        <v>0</v>
      </c>
      <c r="E20" s="145"/>
      <c r="F20" s="180"/>
      <c r="G20" s="180"/>
      <c r="H20" s="113"/>
      <c r="I20" s="113"/>
      <c r="J20" s="113"/>
      <c r="K20" s="122"/>
      <c r="L20" s="122"/>
      <c r="M20" s="122"/>
      <c r="N20" s="145"/>
      <c r="O20" s="180"/>
      <c r="P20" s="180"/>
      <c r="Q20" s="145">
        <v>0</v>
      </c>
      <c r="R20" s="173">
        <v>0</v>
      </c>
      <c r="S20" s="173">
        <v>0</v>
      </c>
      <c r="T20" s="64"/>
      <c r="U20" s="64"/>
      <c r="V20" s="64"/>
      <c r="W20" s="133"/>
      <c r="X20" s="133"/>
      <c r="Y20" s="133"/>
      <c r="Z20" s="145"/>
      <c r="AA20" s="180"/>
      <c r="AB20" s="180"/>
      <c r="AC20" s="140"/>
      <c r="AD20" s="161"/>
      <c r="AE20" s="161"/>
      <c r="AF20" s="18">
        <v>0</v>
      </c>
      <c r="AG20" s="19">
        <v>0</v>
      </c>
      <c r="AH20" s="19">
        <v>0</v>
      </c>
      <c r="AJ20" s="12">
        <f t="shared" si="4"/>
        <v>0</v>
      </c>
      <c r="AK20" s="12">
        <f t="shared" si="5"/>
        <v>0</v>
      </c>
    </row>
    <row r="21" spans="1:37">
      <c r="A21" s="9" t="s">
        <v>15</v>
      </c>
      <c r="B21" s="39">
        <f t="shared" si="13"/>
        <v>0</v>
      </c>
      <c r="C21" s="43">
        <f t="shared" si="10"/>
        <v>0</v>
      </c>
      <c r="D21" s="43">
        <f t="shared" si="11"/>
        <v>0</v>
      </c>
      <c r="E21" s="145"/>
      <c r="F21" s="180"/>
      <c r="G21" s="180"/>
      <c r="H21" s="113"/>
      <c r="I21" s="113"/>
      <c r="J21" s="113"/>
      <c r="K21" s="122"/>
      <c r="L21" s="122"/>
      <c r="M21" s="122"/>
      <c r="N21" s="145"/>
      <c r="O21" s="180"/>
      <c r="P21" s="180"/>
      <c r="Q21" s="145">
        <v>0</v>
      </c>
      <c r="R21" s="173">
        <v>0</v>
      </c>
      <c r="S21" s="173">
        <v>0</v>
      </c>
      <c r="T21" s="64"/>
      <c r="U21" s="64"/>
      <c r="V21" s="64"/>
      <c r="W21" s="133"/>
      <c r="X21" s="133"/>
      <c r="Y21" s="133"/>
      <c r="Z21" s="145"/>
      <c r="AA21" s="180"/>
      <c r="AB21" s="180"/>
      <c r="AC21" s="140"/>
      <c r="AD21" s="161"/>
      <c r="AE21" s="161"/>
      <c r="AF21" s="18">
        <v>0</v>
      </c>
      <c r="AG21" s="19">
        <v>0</v>
      </c>
      <c r="AH21" s="19">
        <v>0</v>
      </c>
      <c r="AJ21" s="12">
        <f t="shared" si="4"/>
        <v>0</v>
      </c>
      <c r="AK21" s="12">
        <f t="shared" si="5"/>
        <v>0</v>
      </c>
    </row>
    <row r="22" spans="1:37" ht="31.5">
      <c r="A22" s="10" t="s">
        <v>7</v>
      </c>
      <c r="B22" s="39">
        <v>1190.7</v>
      </c>
      <c r="C22" s="43">
        <f t="shared" si="10"/>
        <v>1387.1999999999998</v>
      </c>
      <c r="D22" s="43">
        <f t="shared" si="11"/>
        <v>63.599999999999994</v>
      </c>
      <c r="E22" s="145"/>
      <c r="F22" s="180"/>
      <c r="G22" s="180"/>
      <c r="H22" s="113">
        <v>110.8</v>
      </c>
      <c r="I22" s="113">
        <v>100.4</v>
      </c>
      <c r="J22" s="113">
        <v>0.3</v>
      </c>
      <c r="K22" s="122"/>
      <c r="L22" s="122"/>
      <c r="M22" s="122"/>
      <c r="N22" s="145"/>
      <c r="O22" s="180"/>
      <c r="P22" s="180"/>
      <c r="Q22" s="145">
        <v>90.9</v>
      </c>
      <c r="R22" s="173">
        <v>128.9</v>
      </c>
      <c r="S22" s="173">
        <v>7.5</v>
      </c>
      <c r="T22" s="64">
        <v>976.9</v>
      </c>
      <c r="U22" s="64">
        <v>1147.3</v>
      </c>
      <c r="V22" s="64">
        <v>54.3</v>
      </c>
      <c r="W22" s="133"/>
      <c r="X22" s="133"/>
      <c r="Y22" s="133"/>
      <c r="Z22" s="59">
        <v>12.1</v>
      </c>
      <c r="AA22" s="180">
        <v>10.6</v>
      </c>
      <c r="AB22" s="187">
        <v>1.5</v>
      </c>
      <c r="AC22" s="140"/>
      <c r="AD22" s="161"/>
      <c r="AE22" s="161"/>
      <c r="AF22" s="18">
        <v>0</v>
      </c>
      <c r="AG22" s="19">
        <v>0</v>
      </c>
      <c r="AH22" s="19">
        <v>0</v>
      </c>
      <c r="AJ22" s="12">
        <f t="shared" si="4"/>
        <v>1387.2</v>
      </c>
      <c r="AK22" s="12">
        <f t="shared" si="5"/>
        <v>0</v>
      </c>
    </row>
    <row r="23" spans="1:37">
      <c r="A23" s="10" t="s">
        <v>8</v>
      </c>
      <c r="B23" s="39">
        <v>873.1</v>
      </c>
      <c r="C23" s="43">
        <f t="shared" si="10"/>
        <v>3.5</v>
      </c>
      <c r="D23" s="43">
        <f t="shared" si="11"/>
        <v>0.9</v>
      </c>
      <c r="E23" s="145"/>
      <c r="F23" s="180"/>
      <c r="G23" s="180"/>
      <c r="H23" s="113"/>
      <c r="I23" s="113"/>
      <c r="J23" s="113"/>
      <c r="K23" s="122"/>
      <c r="L23" s="122"/>
      <c r="M23" s="122"/>
      <c r="N23" s="145"/>
      <c r="O23" s="180"/>
      <c r="P23" s="180"/>
      <c r="Q23" s="145">
        <v>1.8</v>
      </c>
      <c r="R23" s="173">
        <v>1.7</v>
      </c>
      <c r="S23" s="173">
        <v>0</v>
      </c>
      <c r="T23" s="64">
        <v>870.8</v>
      </c>
      <c r="U23" s="64">
        <v>1.8</v>
      </c>
      <c r="V23" s="64">
        <v>0.9</v>
      </c>
      <c r="W23" s="133"/>
      <c r="X23" s="133"/>
      <c r="Y23" s="133"/>
      <c r="Z23" s="145"/>
      <c r="AA23" s="180"/>
      <c r="AB23" s="180"/>
      <c r="AC23" s="140">
        <v>0.5</v>
      </c>
      <c r="AD23" s="161">
        <v>0</v>
      </c>
      <c r="AE23" s="161">
        <v>0</v>
      </c>
      <c r="AF23" s="18">
        <v>0</v>
      </c>
      <c r="AG23" s="19">
        <v>0</v>
      </c>
      <c r="AH23" s="19">
        <v>0</v>
      </c>
      <c r="AJ23" s="12">
        <f t="shared" si="4"/>
        <v>3.5</v>
      </c>
      <c r="AK23" s="12">
        <f t="shared" si="5"/>
        <v>0</v>
      </c>
    </row>
    <row r="24" spans="1:37">
      <c r="A24" s="10" t="s">
        <v>73</v>
      </c>
      <c r="B24" s="39">
        <v>340.3</v>
      </c>
      <c r="C24" s="43">
        <f t="shared" si="10"/>
        <v>490.3</v>
      </c>
      <c r="D24" s="43">
        <f>G24+J24+M24+P24+S24+V24+Y24+AB24+AE24</f>
        <v>37.900000000000006</v>
      </c>
      <c r="E24" s="145">
        <v>9.5</v>
      </c>
      <c r="F24" s="180">
        <v>7.2</v>
      </c>
      <c r="G24" s="180">
        <v>0</v>
      </c>
      <c r="H24" s="113">
        <v>104.4</v>
      </c>
      <c r="I24" s="113">
        <v>144.5</v>
      </c>
      <c r="J24" s="113">
        <v>4.8</v>
      </c>
      <c r="K24" s="122">
        <v>9.3000000000000007</v>
      </c>
      <c r="L24" s="122">
        <v>13.1</v>
      </c>
      <c r="M24" s="122">
        <v>0</v>
      </c>
      <c r="N24" s="145">
        <v>39.200000000000003</v>
      </c>
      <c r="O24" s="180">
        <v>60.2</v>
      </c>
      <c r="P24" s="180">
        <v>2.6</v>
      </c>
      <c r="Q24" s="145">
        <v>47.3</v>
      </c>
      <c r="R24" s="173">
        <v>95.2</v>
      </c>
      <c r="S24" s="173">
        <v>7.2</v>
      </c>
      <c r="T24" s="64"/>
      <c r="U24" s="64"/>
      <c r="V24" s="64"/>
      <c r="W24" s="133"/>
      <c r="X24" s="133"/>
      <c r="Y24" s="133"/>
      <c r="Z24" s="145"/>
      <c r="AA24" s="180"/>
      <c r="AB24" s="180"/>
      <c r="AC24" s="140">
        <v>130.6</v>
      </c>
      <c r="AD24" s="161">
        <v>170.10000000000002</v>
      </c>
      <c r="AE24" s="161">
        <v>23.3</v>
      </c>
      <c r="AF24" s="18">
        <v>0</v>
      </c>
      <c r="AG24" s="19">
        <v>0</v>
      </c>
      <c r="AH24" s="19">
        <v>0</v>
      </c>
      <c r="AJ24" s="12">
        <f t="shared" si="4"/>
        <v>490.3</v>
      </c>
      <c r="AK24" s="12">
        <f t="shared" si="5"/>
        <v>0</v>
      </c>
    </row>
    <row r="25" spans="1:37">
      <c r="A25" s="10" t="s">
        <v>74</v>
      </c>
      <c r="B25" s="39">
        <v>109.6</v>
      </c>
      <c r="C25" s="43">
        <f t="shared" si="10"/>
        <v>113.9</v>
      </c>
      <c r="D25" s="43">
        <f t="shared" si="11"/>
        <v>16.100000000000001</v>
      </c>
      <c r="E25" s="145"/>
      <c r="F25" s="180"/>
      <c r="G25" s="180"/>
      <c r="H25" s="113">
        <v>1.6</v>
      </c>
      <c r="I25" s="113">
        <v>3.8</v>
      </c>
      <c r="J25" s="113"/>
      <c r="K25" s="122"/>
      <c r="L25" s="122"/>
      <c r="M25" s="122"/>
      <c r="N25" s="145"/>
      <c r="O25" s="180"/>
      <c r="P25" s="180"/>
      <c r="Q25" s="145">
        <v>60.7</v>
      </c>
      <c r="R25" s="173">
        <v>35.700000000000003</v>
      </c>
      <c r="S25" s="173">
        <v>10</v>
      </c>
      <c r="T25" s="64">
        <v>38.4</v>
      </c>
      <c r="U25" s="64">
        <v>64.5</v>
      </c>
      <c r="V25" s="64">
        <v>4.8</v>
      </c>
      <c r="W25" s="133"/>
      <c r="X25" s="133"/>
      <c r="Y25" s="133"/>
      <c r="Z25" s="145"/>
      <c r="AA25" s="180"/>
      <c r="AB25" s="180"/>
      <c r="AC25" s="140">
        <v>8.9</v>
      </c>
      <c r="AD25" s="161">
        <v>9.9</v>
      </c>
      <c r="AE25" s="161">
        <v>1.3</v>
      </c>
      <c r="AF25" s="18">
        <v>0</v>
      </c>
      <c r="AG25" s="19">
        <v>0</v>
      </c>
      <c r="AH25" s="19">
        <v>0</v>
      </c>
      <c r="AJ25" s="12">
        <f t="shared" si="4"/>
        <v>113.9</v>
      </c>
      <c r="AK25" s="12">
        <f t="shared" si="5"/>
        <v>0</v>
      </c>
    </row>
    <row r="26" spans="1:37">
      <c r="A26" s="10" t="s">
        <v>4</v>
      </c>
      <c r="B26" s="39">
        <f t="shared" si="13"/>
        <v>0</v>
      </c>
      <c r="C26" s="43">
        <f t="shared" si="10"/>
        <v>0</v>
      </c>
      <c r="D26" s="43">
        <f t="shared" si="11"/>
        <v>0</v>
      </c>
      <c r="E26" s="145"/>
      <c r="F26" s="180"/>
      <c r="G26" s="180"/>
      <c r="H26" s="113"/>
      <c r="I26" s="113"/>
      <c r="J26" s="113"/>
      <c r="K26" s="122"/>
      <c r="L26" s="122"/>
      <c r="M26" s="122"/>
      <c r="N26" s="145"/>
      <c r="O26" s="180"/>
      <c r="P26" s="180"/>
      <c r="Q26" s="145">
        <v>0</v>
      </c>
      <c r="R26" s="173">
        <v>0</v>
      </c>
      <c r="S26" s="173">
        <v>0</v>
      </c>
      <c r="T26" s="64"/>
      <c r="U26" s="64"/>
      <c r="V26" s="64"/>
      <c r="W26" s="133"/>
      <c r="X26" s="133"/>
      <c r="Y26" s="133"/>
      <c r="Z26" s="145"/>
      <c r="AA26" s="180"/>
      <c r="AB26" s="180"/>
      <c r="AC26" s="140"/>
      <c r="AD26" s="161"/>
      <c r="AE26" s="161"/>
      <c r="AF26" s="18">
        <v>0</v>
      </c>
      <c r="AG26" s="19">
        <v>0</v>
      </c>
      <c r="AH26" s="19">
        <v>0</v>
      </c>
      <c r="AJ26" s="12">
        <f t="shared" si="4"/>
        <v>0</v>
      </c>
      <c r="AK26" s="12">
        <f t="shared" si="5"/>
        <v>0</v>
      </c>
    </row>
    <row r="27" spans="1:37">
      <c r="A27" s="10" t="s">
        <v>45</v>
      </c>
      <c r="B27" s="39">
        <f t="shared" si="13"/>
        <v>0</v>
      </c>
      <c r="C27" s="43">
        <f t="shared" si="10"/>
        <v>0</v>
      </c>
      <c r="D27" s="43">
        <f t="shared" si="11"/>
        <v>0</v>
      </c>
      <c r="E27" s="145"/>
      <c r="F27" s="180"/>
      <c r="G27" s="180"/>
      <c r="H27" s="113"/>
      <c r="I27" s="113"/>
      <c r="J27" s="113"/>
      <c r="K27" s="122"/>
      <c r="L27" s="122"/>
      <c r="M27" s="122"/>
      <c r="N27" s="145"/>
      <c r="O27" s="180"/>
      <c r="P27" s="180"/>
      <c r="Q27" s="145">
        <v>0</v>
      </c>
      <c r="R27" s="173">
        <v>0</v>
      </c>
      <c r="S27" s="173">
        <v>0</v>
      </c>
      <c r="T27" s="64"/>
      <c r="U27" s="64"/>
      <c r="V27" s="64"/>
      <c r="W27" s="133"/>
      <c r="X27" s="133"/>
      <c r="Y27" s="133"/>
      <c r="Z27" s="145"/>
      <c r="AA27" s="180"/>
      <c r="AB27" s="180"/>
      <c r="AC27" s="140"/>
      <c r="AD27" s="161"/>
      <c r="AE27" s="161"/>
      <c r="AF27" s="18">
        <v>0</v>
      </c>
      <c r="AG27" s="19">
        <v>0</v>
      </c>
      <c r="AH27" s="19">
        <v>0</v>
      </c>
      <c r="AJ27" s="12">
        <f t="shared" si="4"/>
        <v>0</v>
      </c>
      <c r="AK27" s="12">
        <f t="shared" si="5"/>
        <v>0</v>
      </c>
    </row>
    <row r="28" spans="1:37">
      <c r="A28" s="11" t="s">
        <v>3</v>
      </c>
      <c r="B28" s="39">
        <v>787.2</v>
      </c>
      <c r="C28" s="43">
        <f t="shared" si="10"/>
        <v>599</v>
      </c>
      <c r="D28" s="43">
        <f t="shared" si="11"/>
        <v>477.4</v>
      </c>
      <c r="E28" s="145"/>
      <c r="F28" s="180"/>
      <c r="G28" s="180"/>
      <c r="H28" s="113"/>
      <c r="I28" s="113"/>
      <c r="J28" s="113"/>
      <c r="K28" s="123"/>
      <c r="L28" s="123"/>
      <c r="M28" s="123"/>
      <c r="N28" s="145"/>
      <c r="O28" s="180"/>
      <c r="P28" s="180"/>
      <c r="Q28" s="145">
        <v>527.1</v>
      </c>
      <c r="R28" s="173">
        <v>148</v>
      </c>
      <c r="S28" s="173">
        <v>45</v>
      </c>
      <c r="T28" s="64">
        <v>58.6</v>
      </c>
      <c r="U28" s="64">
        <v>17.5</v>
      </c>
      <c r="V28" s="64">
        <v>1.2</v>
      </c>
      <c r="W28" s="133"/>
      <c r="X28" s="133"/>
      <c r="Y28" s="133"/>
      <c r="Z28" s="145"/>
      <c r="AA28" s="180"/>
      <c r="AB28" s="180"/>
      <c r="AC28" s="140">
        <v>201.5</v>
      </c>
      <c r="AD28" s="161">
        <v>433.5</v>
      </c>
      <c r="AE28" s="161">
        <v>431.2</v>
      </c>
      <c r="AF28" s="18">
        <v>0</v>
      </c>
      <c r="AG28" s="19">
        <v>0</v>
      </c>
      <c r="AH28" s="19">
        <v>0</v>
      </c>
      <c r="AJ28" s="12">
        <f t="shared" si="4"/>
        <v>599</v>
      </c>
      <c r="AK28" s="12">
        <f t="shared" si="5"/>
        <v>0</v>
      </c>
    </row>
    <row r="29" spans="1:37">
      <c r="A29" s="28" t="s">
        <v>75</v>
      </c>
      <c r="B29" s="39"/>
      <c r="C29" s="43">
        <f t="shared" ref="C29" si="14">F29+I29+L29+O29+R29+U29+X29+AA29+AD29</f>
        <v>1341.7</v>
      </c>
      <c r="D29" s="43"/>
      <c r="E29" s="27">
        <v>134.9</v>
      </c>
      <c r="F29" s="179">
        <f>F34+F35+F36+F45</f>
        <v>146.19999999999999</v>
      </c>
      <c r="G29" s="179">
        <f>G34+G35+G36+G45</f>
        <v>10.8</v>
      </c>
      <c r="H29" s="113"/>
      <c r="I29" s="113"/>
      <c r="J29" s="113"/>
      <c r="K29" s="121">
        <f>K33+K34+K36+K45</f>
        <v>151.21600000000001</v>
      </c>
      <c r="L29" s="121">
        <f>L33+L34+L36+L45+L38</f>
        <v>198.5</v>
      </c>
      <c r="M29" s="121">
        <f>M33+M34+M36+M45</f>
        <v>0</v>
      </c>
      <c r="N29" s="11"/>
      <c r="O29" s="11"/>
      <c r="P29" s="11"/>
      <c r="Q29" s="145">
        <v>0</v>
      </c>
      <c r="R29" s="173">
        <v>0</v>
      </c>
      <c r="S29" s="173">
        <v>0</v>
      </c>
      <c r="T29" s="64"/>
      <c r="U29" s="64"/>
      <c r="V29" s="64"/>
      <c r="W29" s="133"/>
      <c r="X29" s="133"/>
      <c r="Y29" s="133"/>
      <c r="Z29" s="40"/>
      <c r="AA29" s="184"/>
      <c r="AB29" s="184"/>
      <c r="AC29" s="143">
        <v>1697.2</v>
      </c>
      <c r="AD29" s="165">
        <v>997</v>
      </c>
      <c r="AE29" s="165">
        <v>92.9</v>
      </c>
      <c r="AF29" s="18">
        <v>0</v>
      </c>
      <c r="AG29" s="19">
        <v>0</v>
      </c>
      <c r="AH29" s="19">
        <v>0</v>
      </c>
      <c r="AJ29" s="12">
        <f t="shared" si="4"/>
        <v>1341.7</v>
      </c>
      <c r="AK29" s="12">
        <f t="shared" si="5"/>
        <v>0</v>
      </c>
    </row>
    <row r="30" spans="1:37" ht="31.5">
      <c r="A30" s="10" t="s">
        <v>40</v>
      </c>
      <c r="B30" s="39">
        <v>208.1</v>
      </c>
      <c r="C30" s="43">
        <f t="shared" ref="C30:C62" si="15">F30+I30+L30+O30+R30+U30+X30+AA30+AD30</f>
        <v>48</v>
      </c>
      <c r="D30" s="43">
        <f t="shared" ref="D30:D62" si="16">G30+J30+M30+P30+S30+V30+Y30+AB30+AE30</f>
        <v>4</v>
      </c>
      <c r="E30" s="27"/>
      <c r="F30" s="179"/>
      <c r="G30" s="179"/>
      <c r="H30" s="114"/>
      <c r="I30" s="114"/>
      <c r="J30" s="114"/>
      <c r="K30" s="123"/>
      <c r="L30" s="123"/>
      <c r="M30" s="123"/>
      <c r="N30" s="27"/>
      <c r="O30" s="179"/>
      <c r="P30" s="179"/>
      <c r="Q30" s="145">
        <v>0</v>
      </c>
      <c r="R30" s="173">
        <v>0</v>
      </c>
      <c r="S30" s="173">
        <v>0</v>
      </c>
      <c r="T30" s="64">
        <v>160.1</v>
      </c>
      <c r="U30" s="64">
        <v>0</v>
      </c>
      <c r="V30" s="64">
        <v>0</v>
      </c>
      <c r="W30" s="134"/>
      <c r="X30" s="134"/>
      <c r="Y30" s="134"/>
      <c r="Z30" s="27"/>
      <c r="AA30" s="179"/>
      <c r="AB30" s="179"/>
      <c r="AC30" s="142">
        <v>48</v>
      </c>
      <c r="AD30" s="164">
        <v>48</v>
      </c>
      <c r="AE30" s="164">
        <v>4</v>
      </c>
      <c r="AF30" s="18">
        <v>0</v>
      </c>
      <c r="AG30" s="19">
        <v>0</v>
      </c>
      <c r="AH30" s="19">
        <v>0</v>
      </c>
      <c r="AJ30" s="12">
        <f t="shared" si="4"/>
        <v>48</v>
      </c>
      <c r="AK30" s="12">
        <f t="shared" si="5"/>
        <v>0</v>
      </c>
    </row>
    <row r="31" spans="1:37">
      <c r="A31" s="10" t="s">
        <v>41</v>
      </c>
      <c r="B31" s="39">
        <v>5115.7</v>
      </c>
      <c r="C31" s="43">
        <f t="shared" si="15"/>
        <v>1545.8</v>
      </c>
      <c r="D31" s="43">
        <f t="shared" si="16"/>
        <v>513</v>
      </c>
      <c r="E31" s="27"/>
      <c r="F31" s="179"/>
      <c r="G31" s="179"/>
      <c r="H31" s="114"/>
      <c r="I31" s="114"/>
      <c r="J31" s="114"/>
      <c r="K31" s="123"/>
      <c r="L31" s="123"/>
      <c r="M31" s="123"/>
      <c r="N31" s="27"/>
      <c r="O31" s="179"/>
      <c r="P31" s="179"/>
      <c r="Q31" s="145">
        <v>268.5</v>
      </c>
      <c r="R31" s="173">
        <v>277</v>
      </c>
      <c r="S31" s="173">
        <v>28.6</v>
      </c>
      <c r="T31" s="153">
        <v>4740.1000000000004</v>
      </c>
      <c r="U31" s="151">
        <v>1147.7</v>
      </c>
      <c r="V31" s="64">
        <v>482.4</v>
      </c>
      <c r="W31" s="134"/>
      <c r="X31" s="134"/>
      <c r="Y31" s="134"/>
      <c r="Z31" s="59">
        <v>107.1</v>
      </c>
      <c r="AA31" s="180">
        <v>121.1</v>
      </c>
      <c r="AB31" s="187">
        <v>2</v>
      </c>
      <c r="AC31" s="141"/>
      <c r="AD31" s="162"/>
      <c r="AE31" s="162"/>
      <c r="AF31" s="18">
        <v>0</v>
      </c>
      <c r="AG31" s="19">
        <v>0</v>
      </c>
      <c r="AH31" s="19">
        <v>0</v>
      </c>
      <c r="AJ31" s="12">
        <f t="shared" si="4"/>
        <v>1545.8</v>
      </c>
      <c r="AK31" s="12">
        <f t="shared" si="5"/>
        <v>0</v>
      </c>
    </row>
    <row r="32" spans="1:37">
      <c r="A32" s="10" t="s">
        <v>24</v>
      </c>
      <c r="B32" s="39">
        <v>39.700000000000003</v>
      </c>
      <c r="C32" s="43">
        <f t="shared" si="15"/>
        <v>0</v>
      </c>
      <c r="D32" s="43">
        <f t="shared" si="16"/>
        <v>0</v>
      </c>
      <c r="E32" s="145"/>
      <c r="F32" s="180"/>
      <c r="G32" s="180"/>
      <c r="H32" s="113"/>
      <c r="I32" s="113"/>
      <c r="J32" s="113"/>
      <c r="K32" s="122"/>
      <c r="L32" s="122"/>
      <c r="M32" s="122"/>
      <c r="N32" s="145"/>
      <c r="O32" s="180"/>
      <c r="P32" s="180"/>
      <c r="Q32" s="145">
        <v>28.5</v>
      </c>
      <c r="R32" s="173">
        <v>0</v>
      </c>
      <c r="S32" s="173">
        <v>0</v>
      </c>
      <c r="T32" s="64">
        <v>11.2</v>
      </c>
      <c r="U32" s="151">
        <v>0</v>
      </c>
      <c r="V32" s="64">
        <v>0</v>
      </c>
      <c r="W32" s="133"/>
      <c r="X32" s="133"/>
      <c r="Y32" s="133"/>
      <c r="Z32" s="60"/>
      <c r="AA32" s="180"/>
      <c r="AB32" s="185"/>
      <c r="AC32" s="140">
        <v>0</v>
      </c>
      <c r="AD32" s="161">
        <v>0</v>
      </c>
      <c r="AE32" s="161">
        <v>0</v>
      </c>
      <c r="AF32" s="18">
        <v>0</v>
      </c>
      <c r="AG32" s="19">
        <v>0</v>
      </c>
      <c r="AH32" s="19">
        <v>0</v>
      </c>
      <c r="AJ32" s="12">
        <f t="shared" si="4"/>
        <v>0</v>
      </c>
      <c r="AK32" s="12">
        <f t="shared" si="5"/>
        <v>0</v>
      </c>
    </row>
    <row r="33" spans="1:37" s="6" customFormat="1">
      <c r="A33" s="10" t="s">
        <v>9</v>
      </c>
      <c r="B33" s="39">
        <v>1995.2</v>
      </c>
      <c r="C33" s="43">
        <f t="shared" si="15"/>
        <v>1539.6999999999998</v>
      </c>
      <c r="D33" s="43">
        <f t="shared" si="16"/>
        <v>91.1</v>
      </c>
      <c r="E33" s="145"/>
      <c r="F33" s="180"/>
      <c r="G33" s="180"/>
      <c r="H33" s="113">
        <v>279</v>
      </c>
      <c r="I33" s="113">
        <v>278.3</v>
      </c>
      <c r="J33" s="113">
        <v>0</v>
      </c>
      <c r="K33" s="122">
        <v>106.9</v>
      </c>
      <c r="L33" s="122">
        <v>130.69999999999999</v>
      </c>
      <c r="M33" s="122">
        <v>0</v>
      </c>
      <c r="N33" s="145">
        <v>431.9</v>
      </c>
      <c r="O33" s="180">
        <v>649.1</v>
      </c>
      <c r="P33" s="180">
        <v>40.299999999999997</v>
      </c>
      <c r="Q33" s="145">
        <v>0</v>
      </c>
      <c r="R33" s="173">
        <v>0</v>
      </c>
      <c r="S33" s="173">
        <v>0</v>
      </c>
      <c r="T33" s="64"/>
      <c r="U33" s="151"/>
      <c r="V33" s="64"/>
      <c r="W33" s="133"/>
      <c r="X33" s="133"/>
      <c r="Y33" s="133"/>
      <c r="Z33" s="60"/>
      <c r="AA33" s="180"/>
      <c r="AB33" s="185"/>
      <c r="AC33" s="140">
        <v>1177.4000000000001</v>
      </c>
      <c r="AD33" s="161">
        <v>481.59999999999997</v>
      </c>
      <c r="AE33" s="161">
        <v>50.800000000000004</v>
      </c>
      <c r="AF33" s="16">
        <f t="shared" ref="AF33:AH33" si="17">SUM(AF34:AF64)</f>
        <v>0</v>
      </c>
      <c r="AG33" s="13">
        <f t="shared" si="17"/>
        <v>0</v>
      </c>
      <c r="AH33" s="13">
        <f t="shared" si="17"/>
        <v>0</v>
      </c>
      <c r="AJ33" s="12">
        <f t="shared" si="4"/>
        <v>1539.7</v>
      </c>
      <c r="AK33" s="12">
        <f t="shared" si="5"/>
        <v>0</v>
      </c>
    </row>
    <row r="34" spans="1:37" s="6" customFormat="1" ht="17.25" customHeight="1">
      <c r="A34" s="10" t="s">
        <v>25</v>
      </c>
      <c r="B34" s="39">
        <v>2234.12</v>
      </c>
      <c r="C34" s="43">
        <f t="shared" si="15"/>
        <v>3462.9000000000005</v>
      </c>
      <c r="D34" s="43">
        <f t="shared" si="16"/>
        <v>218</v>
      </c>
      <c r="E34" s="145">
        <v>95.3</v>
      </c>
      <c r="F34" s="180">
        <v>97.3</v>
      </c>
      <c r="G34" s="180">
        <v>10.8</v>
      </c>
      <c r="H34" s="113">
        <v>686.4</v>
      </c>
      <c r="I34" s="113">
        <v>1739.4</v>
      </c>
      <c r="J34" s="113">
        <v>56.2</v>
      </c>
      <c r="K34" s="122">
        <v>33.816000000000003</v>
      </c>
      <c r="L34" s="122">
        <v>35.9</v>
      </c>
      <c r="M34" s="122">
        <v>0</v>
      </c>
      <c r="N34" s="145"/>
      <c r="O34" s="180"/>
      <c r="P34" s="180"/>
      <c r="Q34" s="145">
        <v>334.2</v>
      </c>
      <c r="R34" s="173">
        <v>959</v>
      </c>
      <c r="S34" s="173">
        <v>50.8</v>
      </c>
      <c r="T34" s="64">
        <v>1084.4000000000001</v>
      </c>
      <c r="U34" s="151">
        <v>631.29999999999995</v>
      </c>
      <c r="V34" s="64">
        <v>100.2</v>
      </c>
      <c r="W34" s="133"/>
      <c r="X34" s="133"/>
      <c r="Y34" s="133"/>
      <c r="Z34" s="60"/>
      <c r="AA34" s="180"/>
      <c r="AB34" s="185"/>
      <c r="AC34" s="140"/>
      <c r="AD34" s="161">
        <v>0</v>
      </c>
      <c r="AE34" s="161"/>
      <c r="AF34" s="18">
        <v>0</v>
      </c>
      <c r="AG34" s="19">
        <v>0</v>
      </c>
      <c r="AH34" s="19">
        <v>0</v>
      </c>
      <c r="AJ34" s="12">
        <f t="shared" si="4"/>
        <v>3462.9000000000005</v>
      </c>
      <c r="AK34" s="12">
        <f t="shared" si="5"/>
        <v>0</v>
      </c>
    </row>
    <row r="35" spans="1:37" s="6" customFormat="1">
      <c r="A35" s="10" t="s">
        <v>10</v>
      </c>
      <c r="B35" s="39">
        <v>369</v>
      </c>
      <c r="C35" s="43">
        <f t="shared" si="15"/>
        <v>385.1</v>
      </c>
      <c r="D35" s="43">
        <f t="shared" si="16"/>
        <v>5.3</v>
      </c>
      <c r="E35" s="145">
        <v>19</v>
      </c>
      <c r="F35" s="180">
        <v>26.4</v>
      </c>
      <c r="G35" s="180">
        <v>0</v>
      </c>
      <c r="H35" s="113">
        <v>30.7</v>
      </c>
      <c r="I35" s="113">
        <v>44.1</v>
      </c>
      <c r="J35" s="113">
        <v>0</v>
      </c>
      <c r="K35" s="122"/>
      <c r="L35" s="122"/>
      <c r="M35" s="122"/>
      <c r="N35" s="145">
        <v>2.1</v>
      </c>
      <c r="O35" s="180">
        <v>2</v>
      </c>
      <c r="P35" s="180"/>
      <c r="Q35" s="145">
        <v>8.3000000000000007</v>
      </c>
      <c r="R35" s="173">
        <v>15.3</v>
      </c>
      <c r="S35" s="173">
        <v>0</v>
      </c>
      <c r="T35" s="64">
        <v>302.89999999999998</v>
      </c>
      <c r="U35" s="151">
        <v>289.5</v>
      </c>
      <c r="V35" s="64">
        <v>1.5</v>
      </c>
      <c r="W35" s="133"/>
      <c r="X35" s="133"/>
      <c r="Y35" s="133"/>
      <c r="Z35" s="60"/>
      <c r="AA35" s="180"/>
      <c r="AB35" s="185"/>
      <c r="AC35" s="140">
        <v>6</v>
      </c>
      <c r="AD35" s="161">
        <v>7.8</v>
      </c>
      <c r="AE35" s="161">
        <v>3.8</v>
      </c>
      <c r="AF35" s="18">
        <v>0</v>
      </c>
      <c r="AG35" s="19">
        <v>0</v>
      </c>
      <c r="AH35" s="19">
        <v>0</v>
      </c>
      <c r="AJ35" s="12">
        <f t="shared" si="4"/>
        <v>385.1</v>
      </c>
      <c r="AK35" s="12">
        <f t="shared" si="5"/>
        <v>0</v>
      </c>
    </row>
    <row r="36" spans="1:37">
      <c r="A36" s="10" t="s">
        <v>11</v>
      </c>
      <c r="B36" s="39">
        <v>296.10000000000002</v>
      </c>
      <c r="C36" s="43">
        <f t="shared" si="15"/>
        <v>78.399999999999991</v>
      </c>
      <c r="D36" s="43">
        <f t="shared" si="16"/>
        <v>11.1</v>
      </c>
      <c r="E36" s="145">
        <v>3.6</v>
      </c>
      <c r="F36" s="180">
        <v>0</v>
      </c>
      <c r="G36" s="180">
        <v>0</v>
      </c>
      <c r="H36" s="113">
        <v>13.9</v>
      </c>
      <c r="I36" s="113">
        <v>29</v>
      </c>
      <c r="J36" s="113">
        <v>10.6</v>
      </c>
      <c r="K36" s="122">
        <v>0.5</v>
      </c>
      <c r="L36" s="122">
        <v>1</v>
      </c>
      <c r="M36" s="122">
        <v>0</v>
      </c>
      <c r="N36" s="145">
        <v>49.1</v>
      </c>
      <c r="O36" s="180">
        <v>47.3</v>
      </c>
      <c r="P36" s="180"/>
      <c r="Q36" s="145">
        <v>228.2</v>
      </c>
      <c r="R36" s="173">
        <v>0</v>
      </c>
      <c r="S36" s="173">
        <v>0</v>
      </c>
      <c r="T36" s="64"/>
      <c r="U36" s="64"/>
      <c r="V36" s="64"/>
      <c r="W36" s="133"/>
      <c r="X36" s="133"/>
      <c r="Y36" s="133"/>
      <c r="Z36" s="60"/>
      <c r="AA36" s="180"/>
      <c r="AB36" s="185"/>
      <c r="AC36" s="140">
        <v>0.8</v>
      </c>
      <c r="AD36" s="161">
        <v>1.1000000000000001</v>
      </c>
      <c r="AE36" s="161">
        <v>0.5</v>
      </c>
      <c r="AF36" s="18">
        <v>0</v>
      </c>
      <c r="AG36" s="19">
        <v>0</v>
      </c>
      <c r="AH36" s="19">
        <v>0</v>
      </c>
      <c r="AJ36" s="12">
        <f t="shared" si="4"/>
        <v>78.400000000000006</v>
      </c>
      <c r="AK36" s="12">
        <f t="shared" si="5"/>
        <v>0</v>
      </c>
    </row>
    <row r="37" spans="1:37">
      <c r="A37" s="10" t="s">
        <v>12</v>
      </c>
      <c r="B37" s="39">
        <v>99.9</v>
      </c>
      <c r="C37" s="43">
        <f t="shared" si="15"/>
        <v>130</v>
      </c>
      <c r="D37" s="43">
        <f t="shared" si="16"/>
        <v>0</v>
      </c>
      <c r="E37" s="145"/>
      <c r="F37" s="180"/>
      <c r="G37" s="180"/>
      <c r="H37" s="113">
        <v>99.9</v>
      </c>
      <c r="I37" s="113">
        <v>130</v>
      </c>
      <c r="J37" s="113">
        <v>0</v>
      </c>
      <c r="K37" s="122"/>
      <c r="L37" s="122"/>
      <c r="M37" s="122"/>
      <c r="N37" s="145"/>
      <c r="O37" s="180"/>
      <c r="P37" s="180"/>
      <c r="Q37" s="145">
        <v>0</v>
      </c>
      <c r="R37" s="173">
        <v>0</v>
      </c>
      <c r="S37" s="173">
        <v>0</v>
      </c>
      <c r="T37" s="64"/>
      <c r="U37" s="64"/>
      <c r="V37" s="64"/>
      <c r="W37" s="133"/>
      <c r="X37" s="133"/>
      <c r="Y37" s="133"/>
      <c r="Z37" s="60"/>
      <c r="AA37" s="180"/>
      <c r="AB37" s="185"/>
      <c r="AC37" s="140"/>
      <c r="AD37" s="161"/>
      <c r="AE37" s="161"/>
      <c r="AF37" s="18">
        <v>0</v>
      </c>
      <c r="AG37" s="19">
        <v>0</v>
      </c>
      <c r="AH37" s="19">
        <v>0</v>
      </c>
      <c r="AJ37" s="12">
        <f t="shared" si="4"/>
        <v>130</v>
      </c>
      <c r="AK37" s="12">
        <f t="shared" si="5"/>
        <v>0</v>
      </c>
    </row>
    <row r="38" spans="1:37" ht="15.75" customHeight="1">
      <c r="A38" s="10" t="s">
        <v>28</v>
      </c>
      <c r="B38" s="39">
        <v>1444.4</v>
      </c>
      <c r="C38" s="43">
        <f t="shared" si="15"/>
        <v>501.69999999999993</v>
      </c>
      <c r="D38" s="43">
        <f t="shared" si="16"/>
        <v>3.2</v>
      </c>
      <c r="E38" s="145"/>
      <c r="F38" s="180"/>
      <c r="G38" s="180"/>
      <c r="H38" s="113">
        <v>268.89999999999998</v>
      </c>
      <c r="I38" s="113">
        <v>302.2</v>
      </c>
      <c r="J38" s="113">
        <v>0</v>
      </c>
      <c r="K38" s="122"/>
      <c r="L38" s="122">
        <v>9.9</v>
      </c>
      <c r="M38" s="122">
        <v>0</v>
      </c>
      <c r="N38" s="145">
        <v>10.9</v>
      </c>
      <c r="O38" s="180">
        <v>9.9</v>
      </c>
      <c r="P38" s="180">
        <v>1.8</v>
      </c>
      <c r="Q38" s="145">
        <v>3</v>
      </c>
      <c r="R38" s="173">
        <v>156.6</v>
      </c>
      <c r="S38" s="173">
        <v>0</v>
      </c>
      <c r="T38" s="64">
        <v>1144.2</v>
      </c>
      <c r="U38" s="64">
        <v>0</v>
      </c>
      <c r="V38" s="64">
        <v>0</v>
      </c>
      <c r="W38" s="133"/>
      <c r="X38" s="133"/>
      <c r="Y38" s="133"/>
      <c r="Z38" s="60"/>
      <c r="AA38" s="180"/>
      <c r="AB38" s="185"/>
      <c r="AC38" s="140">
        <v>17.399999999999999</v>
      </c>
      <c r="AD38" s="161">
        <v>23.1</v>
      </c>
      <c r="AE38" s="161">
        <v>1.4</v>
      </c>
      <c r="AF38" s="18">
        <v>0</v>
      </c>
      <c r="AG38" s="19">
        <v>0</v>
      </c>
      <c r="AH38" s="19">
        <v>0</v>
      </c>
      <c r="AJ38" s="12">
        <f t="shared" si="4"/>
        <v>501.7</v>
      </c>
      <c r="AK38" s="12">
        <f t="shared" si="5"/>
        <v>0</v>
      </c>
    </row>
    <row r="39" spans="1:37" ht="31.5">
      <c r="A39" s="10" t="s">
        <v>13</v>
      </c>
      <c r="B39" s="39">
        <f t="shared" ref="B39:B58" si="18">E39+H39+K39+N39+Q39+T39+W39+Z39+AC39</f>
        <v>0</v>
      </c>
      <c r="C39" s="43">
        <f t="shared" si="15"/>
        <v>0</v>
      </c>
      <c r="D39" s="43">
        <f t="shared" si="16"/>
        <v>0</v>
      </c>
      <c r="E39" s="145"/>
      <c r="F39" s="180"/>
      <c r="G39" s="180"/>
      <c r="H39" s="113"/>
      <c r="I39" s="113"/>
      <c r="J39" s="113"/>
      <c r="K39" s="122"/>
      <c r="L39" s="122"/>
      <c r="M39" s="122"/>
      <c r="N39" s="145"/>
      <c r="O39" s="180"/>
      <c r="P39" s="180"/>
      <c r="Q39" s="145">
        <v>0</v>
      </c>
      <c r="R39" s="173">
        <v>0</v>
      </c>
      <c r="S39" s="173">
        <v>0</v>
      </c>
      <c r="T39" s="64"/>
      <c r="U39" s="64"/>
      <c r="V39" s="64"/>
      <c r="W39" s="133"/>
      <c r="X39" s="133"/>
      <c r="Y39" s="133"/>
      <c r="Z39" s="145"/>
      <c r="AA39" s="180"/>
      <c r="AB39" s="180"/>
      <c r="AC39" s="140"/>
      <c r="AD39" s="161"/>
      <c r="AE39" s="161"/>
      <c r="AF39" s="18">
        <v>0</v>
      </c>
      <c r="AG39" s="19">
        <v>0</v>
      </c>
      <c r="AH39" s="19">
        <v>0</v>
      </c>
      <c r="AJ39" s="12">
        <f t="shared" si="4"/>
        <v>0</v>
      </c>
      <c r="AK39" s="12">
        <f t="shared" si="5"/>
        <v>0</v>
      </c>
    </row>
    <row r="40" spans="1:37">
      <c r="A40" s="10" t="s">
        <v>14</v>
      </c>
      <c r="B40" s="39">
        <v>3382.5</v>
      </c>
      <c r="C40" s="43">
        <f t="shared" si="15"/>
        <v>3339.1</v>
      </c>
      <c r="D40" s="43">
        <f t="shared" si="16"/>
        <v>273.7</v>
      </c>
      <c r="E40" s="145"/>
      <c r="F40" s="180"/>
      <c r="G40" s="180"/>
      <c r="H40" s="113"/>
      <c r="I40" s="113"/>
      <c r="J40" s="113"/>
      <c r="K40" s="122"/>
      <c r="L40" s="122"/>
      <c r="M40" s="122"/>
      <c r="N40" s="145"/>
      <c r="O40" s="180"/>
      <c r="P40" s="180"/>
      <c r="Q40" s="145">
        <v>0</v>
      </c>
      <c r="R40" s="173">
        <v>0</v>
      </c>
      <c r="S40" s="173">
        <v>0</v>
      </c>
      <c r="T40" s="64">
        <v>3382.5</v>
      </c>
      <c r="U40" s="151">
        <v>3339.1</v>
      </c>
      <c r="V40" s="64">
        <v>273.7</v>
      </c>
      <c r="W40" s="133"/>
      <c r="X40" s="133"/>
      <c r="Y40" s="133"/>
      <c r="Z40" s="145"/>
      <c r="AA40" s="180"/>
      <c r="AB40" s="180"/>
      <c r="AC40" s="140"/>
      <c r="AD40" s="161"/>
      <c r="AE40" s="161"/>
      <c r="AF40" s="18">
        <v>0</v>
      </c>
      <c r="AG40" s="19">
        <v>0</v>
      </c>
      <c r="AH40" s="19">
        <v>0</v>
      </c>
      <c r="AJ40" s="12">
        <f t="shared" si="4"/>
        <v>3339.1</v>
      </c>
      <c r="AK40" s="12">
        <f t="shared" si="5"/>
        <v>0</v>
      </c>
    </row>
    <row r="41" spans="1:37">
      <c r="A41" s="10" t="s">
        <v>31</v>
      </c>
      <c r="B41" s="39">
        <f t="shared" si="18"/>
        <v>0</v>
      </c>
      <c r="C41" s="43">
        <f t="shared" si="15"/>
        <v>0</v>
      </c>
      <c r="D41" s="43">
        <f t="shared" si="16"/>
        <v>0</v>
      </c>
      <c r="E41" s="145"/>
      <c r="F41" s="180"/>
      <c r="G41" s="180"/>
      <c r="H41" s="113"/>
      <c r="I41" s="113"/>
      <c r="J41" s="113"/>
      <c r="K41" s="122"/>
      <c r="L41" s="122"/>
      <c r="M41" s="122"/>
      <c r="N41" s="145"/>
      <c r="O41" s="180"/>
      <c r="P41" s="180"/>
      <c r="Q41" s="145">
        <v>0</v>
      </c>
      <c r="R41" s="173">
        <v>0</v>
      </c>
      <c r="S41" s="173">
        <v>0</v>
      </c>
      <c r="T41" s="64"/>
      <c r="U41" s="151"/>
      <c r="V41" s="64"/>
      <c r="W41" s="133"/>
      <c r="X41" s="133"/>
      <c r="Y41" s="133"/>
      <c r="Z41" s="145"/>
      <c r="AA41" s="180"/>
      <c r="AB41" s="180"/>
      <c r="AC41" s="140"/>
      <c r="AD41" s="161"/>
      <c r="AE41" s="161"/>
      <c r="AF41" s="18">
        <v>0</v>
      </c>
      <c r="AG41" s="19">
        <v>0</v>
      </c>
      <c r="AH41" s="19">
        <v>0</v>
      </c>
      <c r="AJ41" s="12">
        <f t="shared" si="4"/>
        <v>0</v>
      </c>
      <c r="AK41" s="12">
        <f t="shared" si="5"/>
        <v>0</v>
      </c>
    </row>
    <row r="42" spans="1:37" ht="15.75" customHeight="1">
      <c r="A42" s="10" t="s">
        <v>76</v>
      </c>
      <c r="B42" s="39">
        <v>29.5</v>
      </c>
      <c r="C42" s="43">
        <f t="shared" si="15"/>
        <v>0</v>
      </c>
      <c r="D42" s="43">
        <f t="shared" si="16"/>
        <v>0</v>
      </c>
      <c r="E42" s="145"/>
      <c r="F42" s="180"/>
      <c r="G42" s="180"/>
      <c r="H42" s="113">
        <v>8.8000000000000007</v>
      </c>
      <c r="I42" s="113"/>
      <c r="J42" s="113"/>
      <c r="K42" s="122"/>
      <c r="L42" s="122"/>
      <c r="M42" s="122"/>
      <c r="N42" s="145"/>
      <c r="O42" s="180"/>
      <c r="P42" s="180"/>
      <c r="Q42" s="145">
        <v>0</v>
      </c>
      <c r="R42" s="173">
        <v>0</v>
      </c>
      <c r="S42" s="173">
        <v>0</v>
      </c>
      <c r="T42" s="64">
        <v>20.7</v>
      </c>
      <c r="U42" s="151">
        <v>0</v>
      </c>
      <c r="V42" s="64">
        <v>0</v>
      </c>
      <c r="W42" s="133"/>
      <c r="X42" s="133"/>
      <c r="Y42" s="133"/>
      <c r="Z42" s="145"/>
      <c r="AA42" s="180"/>
      <c r="AB42" s="180"/>
      <c r="AC42" s="140"/>
      <c r="AD42" s="161"/>
      <c r="AE42" s="161"/>
      <c r="AF42" s="18">
        <v>0</v>
      </c>
      <c r="AG42" s="19">
        <v>0</v>
      </c>
      <c r="AH42" s="19">
        <v>0</v>
      </c>
      <c r="AJ42" s="12">
        <f t="shared" si="4"/>
        <v>0</v>
      </c>
      <c r="AK42" s="12">
        <f t="shared" si="5"/>
        <v>0</v>
      </c>
    </row>
    <row r="43" spans="1:37">
      <c r="A43" s="10" t="s">
        <v>15</v>
      </c>
      <c r="B43" s="39">
        <f t="shared" si="18"/>
        <v>0</v>
      </c>
      <c r="C43" s="43">
        <f t="shared" si="15"/>
        <v>0</v>
      </c>
      <c r="D43" s="43">
        <f t="shared" si="16"/>
        <v>0</v>
      </c>
      <c r="E43" s="145"/>
      <c r="F43" s="180"/>
      <c r="G43" s="180"/>
      <c r="H43" s="113"/>
      <c r="I43" s="113"/>
      <c r="J43" s="113"/>
      <c r="K43" s="122"/>
      <c r="L43" s="122"/>
      <c r="M43" s="122"/>
      <c r="N43" s="145"/>
      <c r="O43" s="180"/>
      <c r="P43" s="180"/>
      <c r="Q43" s="145">
        <v>0</v>
      </c>
      <c r="R43" s="173">
        <v>0</v>
      </c>
      <c r="S43" s="173">
        <v>0</v>
      </c>
      <c r="T43" s="64"/>
      <c r="U43" s="151"/>
      <c r="V43" s="64"/>
      <c r="W43" s="133"/>
      <c r="X43" s="133"/>
      <c r="Y43" s="133"/>
      <c r="Z43" s="145"/>
      <c r="AA43" s="180"/>
      <c r="AB43" s="180"/>
      <c r="AC43" s="140"/>
      <c r="AD43" s="161"/>
      <c r="AE43" s="161"/>
      <c r="AF43" s="18">
        <v>0</v>
      </c>
      <c r="AG43" s="19">
        <v>0</v>
      </c>
      <c r="AH43" s="19">
        <v>0</v>
      </c>
      <c r="AJ43" s="12">
        <f t="shared" si="4"/>
        <v>0</v>
      </c>
      <c r="AK43" s="12">
        <f t="shared" si="5"/>
        <v>0</v>
      </c>
    </row>
    <row r="44" spans="1:37">
      <c r="A44" s="10" t="s">
        <v>16</v>
      </c>
      <c r="B44" s="39">
        <f t="shared" si="18"/>
        <v>0</v>
      </c>
      <c r="C44" s="43">
        <f t="shared" si="15"/>
        <v>0</v>
      </c>
      <c r="D44" s="43">
        <f t="shared" si="16"/>
        <v>0</v>
      </c>
      <c r="E44" s="145"/>
      <c r="F44" s="180"/>
      <c r="G44" s="180"/>
      <c r="H44" s="113"/>
      <c r="I44" s="113"/>
      <c r="J44" s="113"/>
      <c r="K44" s="122"/>
      <c r="L44" s="122"/>
      <c r="M44" s="122"/>
      <c r="N44" s="145"/>
      <c r="O44" s="180"/>
      <c r="P44" s="180"/>
      <c r="Q44" s="145">
        <v>0</v>
      </c>
      <c r="R44" s="173">
        <v>0</v>
      </c>
      <c r="S44" s="173">
        <v>0</v>
      </c>
      <c r="T44" s="64"/>
      <c r="U44" s="151"/>
      <c r="V44" s="64"/>
      <c r="W44" s="133"/>
      <c r="X44" s="133"/>
      <c r="Y44" s="133"/>
      <c r="Z44" s="145"/>
      <c r="AA44" s="180"/>
      <c r="AB44" s="180"/>
      <c r="AC44" s="140"/>
      <c r="AD44" s="161"/>
      <c r="AE44" s="161"/>
      <c r="AF44" s="18">
        <v>0</v>
      </c>
      <c r="AG44" s="19">
        <v>0</v>
      </c>
      <c r="AH44" s="19">
        <v>0</v>
      </c>
      <c r="AJ44" s="12">
        <f t="shared" si="4"/>
        <v>0</v>
      </c>
      <c r="AK44" s="12">
        <f t="shared" si="5"/>
        <v>0</v>
      </c>
    </row>
    <row r="45" spans="1:37">
      <c r="A45" s="10" t="s">
        <v>17</v>
      </c>
      <c r="B45" s="39">
        <v>291.3</v>
      </c>
      <c r="C45" s="43">
        <f t="shared" si="15"/>
        <v>177.29999999999998</v>
      </c>
      <c r="D45" s="43">
        <f t="shared" si="16"/>
        <v>14</v>
      </c>
      <c r="E45" s="145">
        <v>17</v>
      </c>
      <c r="F45" s="180">
        <v>22.5</v>
      </c>
      <c r="G45" s="180">
        <v>0</v>
      </c>
      <c r="H45" s="113">
        <v>77.5</v>
      </c>
      <c r="I45" s="113">
        <v>64</v>
      </c>
      <c r="J45" s="113">
        <v>14</v>
      </c>
      <c r="K45" s="122">
        <v>10</v>
      </c>
      <c r="L45" s="122">
        <v>21</v>
      </c>
      <c r="M45" s="122">
        <v>0</v>
      </c>
      <c r="N45" s="145">
        <v>7</v>
      </c>
      <c r="O45" s="180">
        <v>14</v>
      </c>
      <c r="P45" s="180"/>
      <c r="Q45" s="145">
        <v>79.599999999999994</v>
      </c>
      <c r="R45" s="173">
        <v>29.5</v>
      </c>
      <c r="S45" s="173">
        <v>0</v>
      </c>
      <c r="T45" s="64">
        <v>75.8</v>
      </c>
      <c r="U45" s="151">
        <v>10.7</v>
      </c>
      <c r="V45" s="64">
        <v>0</v>
      </c>
      <c r="W45" s="133"/>
      <c r="X45" s="133"/>
      <c r="Y45" s="133"/>
      <c r="Z45" s="145"/>
      <c r="AA45" s="180"/>
      <c r="AB45" s="180"/>
      <c r="AC45" s="140">
        <v>24.4</v>
      </c>
      <c r="AD45" s="161">
        <v>15.6</v>
      </c>
      <c r="AE45" s="161">
        <v>0</v>
      </c>
      <c r="AF45" s="18">
        <v>0</v>
      </c>
      <c r="AG45" s="19">
        <v>0</v>
      </c>
      <c r="AH45" s="19">
        <v>0</v>
      </c>
      <c r="AJ45" s="12">
        <f t="shared" si="4"/>
        <v>177.3</v>
      </c>
      <c r="AK45" s="12">
        <f t="shared" si="5"/>
        <v>0</v>
      </c>
    </row>
    <row r="46" spans="1:37">
      <c r="A46" s="10" t="s">
        <v>77</v>
      </c>
      <c r="B46" s="39">
        <f t="shared" si="18"/>
        <v>0</v>
      </c>
      <c r="C46" s="43">
        <f t="shared" si="15"/>
        <v>0</v>
      </c>
      <c r="D46" s="43">
        <f t="shared" si="16"/>
        <v>0</v>
      </c>
      <c r="E46" s="145"/>
      <c r="F46" s="180"/>
      <c r="G46" s="180"/>
      <c r="H46" s="113"/>
      <c r="I46" s="113"/>
      <c r="J46" s="113"/>
      <c r="K46" s="122"/>
      <c r="L46" s="122"/>
      <c r="M46" s="122"/>
      <c r="N46" s="145"/>
      <c r="O46" s="180"/>
      <c r="P46" s="180"/>
      <c r="Q46" s="145">
        <v>0</v>
      </c>
      <c r="R46" s="173">
        <v>0</v>
      </c>
      <c r="S46" s="173">
        <v>0</v>
      </c>
      <c r="T46" s="64"/>
      <c r="U46" s="151"/>
      <c r="V46" s="64"/>
      <c r="W46" s="133"/>
      <c r="X46" s="133"/>
      <c r="Y46" s="133"/>
      <c r="Z46" s="145"/>
      <c r="AA46" s="180"/>
      <c r="AB46" s="180"/>
      <c r="AC46" s="140"/>
      <c r="AD46" s="161"/>
      <c r="AE46" s="161"/>
      <c r="AF46" s="18">
        <v>0</v>
      </c>
      <c r="AG46" s="19">
        <v>0</v>
      </c>
      <c r="AH46" s="19">
        <v>0</v>
      </c>
      <c r="AJ46" s="12">
        <f t="shared" si="4"/>
        <v>0</v>
      </c>
      <c r="AK46" s="12">
        <f t="shared" si="5"/>
        <v>0</v>
      </c>
    </row>
    <row r="47" spans="1:37">
      <c r="A47" s="10" t="s">
        <v>22</v>
      </c>
      <c r="B47" s="39">
        <f t="shared" si="18"/>
        <v>0</v>
      </c>
      <c r="C47" s="43">
        <f t="shared" si="15"/>
        <v>0</v>
      </c>
      <c r="D47" s="43">
        <f t="shared" si="16"/>
        <v>0</v>
      </c>
      <c r="E47" s="145"/>
      <c r="F47" s="180"/>
      <c r="G47" s="180"/>
      <c r="H47" s="113"/>
      <c r="I47" s="113"/>
      <c r="J47" s="113"/>
      <c r="K47" s="122"/>
      <c r="L47" s="122"/>
      <c r="M47" s="122"/>
      <c r="N47" s="145"/>
      <c r="O47" s="180"/>
      <c r="P47" s="180"/>
      <c r="Q47" s="145">
        <v>0</v>
      </c>
      <c r="R47" s="173">
        <v>0</v>
      </c>
      <c r="S47" s="173">
        <v>0</v>
      </c>
      <c r="T47" s="64"/>
      <c r="U47" s="64"/>
      <c r="V47" s="64"/>
      <c r="W47" s="133"/>
      <c r="X47" s="133"/>
      <c r="Y47" s="133"/>
      <c r="Z47" s="145"/>
      <c r="AA47" s="180"/>
      <c r="AB47" s="180"/>
      <c r="AC47" s="140"/>
      <c r="AD47" s="161"/>
      <c r="AE47" s="161"/>
      <c r="AF47" s="18">
        <v>0</v>
      </c>
      <c r="AG47" s="19">
        <v>0</v>
      </c>
      <c r="AH47" s="19">
        <v>0</v>
      </c>
      <c r="AJ47" s="12">
        <f t="shared" si="4"/>
        <v>0</v>
      </c>
      <c r="AK47" s="12">
        <f t="shared" si="5"/>
        <v>0</v>
      </c>
    </row>
    <row r="48" spans="1:37">
      <c r="A48" s="10" t="s">
        <v>19</v>
      </c>
      <c r="B48" s="39">
        <v>680.5</v>
      </c>
      <c r="C48" s="43">
        <f t="shared" si="15"/>
        <v>670.9</v>
      </c>
      <c r="D48" s="43">
        <f t="shared" si="16"/>
        <v>139.4</v>
      </c>
      <c r="E48" s="145"/>
      <c r="F48" s="180"/>
      <c r="G48" s="180"/>
      <c r="H48" s="113">
        <v>680.5</v>
      </c>
      <c r="I48" s="113">
        <v>670.9</v>
      </c>
      <c r="J48" s="113">
        <v>139.4</v>
      </c>
      <c r="K48" s="122"/>
      <c r="L48" s="122"/>
      <c r="M48" s="122"/>
      <c r="N48" s="145"/>
      <c r="O48" s="180"/>
      <c r="P48" s="180"/>
      <c r="Q48" s="145">
        <v>0</v>
      </c>
      <c r="R48" s="173">
        <v>0</v>
      </c>
      <c r="S48" s="173">
        <v>0</v>
      </c>
      <c r="T48" s="64"/>
      <c r="U48" s="64"/>
      <c r="V48" s="64"/>
      <c r="W48" s="133"/>
      <c r="X48" s="133"/>
      <c r="Y48" s="133"/>
      <c r="Z48" s="145"/>
      <c r="AA48" s="180"/>
      <c r="AB48" s="180"/>
      <c r="AC48" s="140"/>
      <c r="AD48" s="161"/>
      <c r="AE48" s="161"/>
      <c r="AF48" s="18">
        <v>0</v>
      </c>
      <c r="AG48" s="19">
        <v>0</v>
      </c>
      <c r="AH48" s="19">
        <v>0</v>
      </c>
      <c r="AJ48" s="12">
        <f t="shared" si="4"/>
        <v>670.9</v>
      </c>
      <c r="AK48" s="12">
        <f t="shared" si="5"/>
        <v>0</v>
      </c>
    </row>
    <row r="49" spans="1:37">
      <c r="A49" s="10" t="s">
        <v>20</v>
      </c>
      <c r="B49" s="39">
        <f t="shared" si="18"/>
        <v>0</v>
      </c>
      <c r="C49" s="43">
        <f t="shared" si="15"/>
        <v>0</v>
      </c>
      <c r="D49" s="43">
        <f t="shared" si="16"/>
        <v>0</v>
      </c>
      <c r="E49" s="145"/>
      <c r="F49" s="180"/>
      <c r="G49" s="180"/>
      <c r="H49" s="113"/>
      <c r="I49" s="113"/>
      <c r="J49" s="113"/>
      <c r="K49" s="122"/>
      <c r="L49" s="122"/>
      <c r="M49" s="122"/>
      <c r="N49" s="145"/>
      <c r="O49" s="180"/>
      <c r="P49" s="180"/>
      <c r="Q49" s="145">
        <v>0</v>
      </c>
      <c r="R49" s="173">
        <v>0</v>
      </c>
      <c r="S49" s="173">
        <v>0</v>
      </c>
      <c r="T49" s="64"/>
      <c r="U49" s="64"/>
      <c r="V49" s="64"/>
      <c r="W49" s="133"/>
      <c r="X49" s="133"/>
      <c r="Y49" s="133"/>
      <c r="Z49" s="145"/>
      <c r="AA49" s="180"/>
      <c r="AB49" s="180"/>
      <c r="AC49" s="140"/>
      <c r="AD49" s="161"/>
      <c r="AE49" s="161"/>
      <c r="AF49" s="18">
        <v>0</v>
      </c>
      <c r="AG49" s="19">
        <v>0</v>
      </c>
      <c r="AH49" s="19">
        <v>0</v>
      </c>
      <c r="AJ49" s="12">
        <f t="shared" si="4"/>
        <v>0</v>
      </c>
      <c r="AK49" s="12">
        <f t="shared" si="5"/>
        <v>0</v>
      </c>
    </row>
    <row r="50" spans="1:37">
      <c r="A50" s="10" t="s">
        <v>23</v>
      </c>
      <c r="B50" s="39">
        <v>189.8</v>
      </c>
      <c r="C50" s="43">
        <f t="shared" si="15"/>
        <v>101.6</v>
      </c>
      <c r="D50" s="43">
        <f t="shared" si="16"/>
        <v>0</v>
      </c>
      <c r="E50" s="145"/>
      <c r="F50" s="180"/>
      <c r="G50" s="180"/>
      <c r="H50" s="113"/>
      <c r="I50" s="113"/>
      <c r="J50" s="113"/>
      <c r="K50" s="122"/>
      <c r="L50" s="122"/>
      <c r="M50" s="122"/>
      <c r="N50" s="145"/>
      <c r="O50" s="180"/>
      <c r="P50" s="180"/>
      <c r="Q50" s="145">
        <v>189.8</v>
      </c>
      <c r="R50" s="173">
        <v>101.6</v>
      </c>
      <c r="S50" s="173">
        <v>0</v>
      </c>
      <c r="T50" s="64"/>
      <c r="U50" s="64"/>
      <c r="V50" s="64"/>
      <c r="W50" s="133"/>
      <c r="X50" s="133"/>
      <c r="Y50" s="133"/>
      <c r="Z50" s="145"/>
      <c r="AA50" s="180"/>
      <c r="AB50" s="180"/>
      <c r="AC50" s="140"/>
      <c r="AD50" s="161"/>
      <c r="AE50" s="161"/>
      <c r="AF50" s="18">
        <v>0</v>
      </c>
      <c r="AG50" s="19">
        <v>0</v>
      </c>
      <c r="AH50" s="19">
        <v>0</v>
      </c>
      <c r="AJ50" s="12">
        <f t="shared" si="4"/>
        <v>101.6</v>
      </c>
      <c r="AK50" s="12">
        <f t="shared" si="5"/>
        <v>0</v>
      </c>
    </row>
    <row r="51" spans="1:37">
      <c r="A51" s="10" t="s">
        <v>18</v>
      </c>
      <c r="B51" s="39">
        <f t="shared" si="18"/>
        <v>0</v>
      </c>
      <c r="C51" s="43">
        <f t="shared" si="15"/>
        <v>0</v>
      </c>
      <c r="D51" s="43">
        <f t="shared" si="16"/>
        <v>0</v>
      </c>
      <c r="E51" s="145"/>
      <c r="F51" s="180"/>
      <c r="G51" s="180"/>
      <c r="H51" s="113"/>
      <c r="I51" s="113"/>
      <c r="J51" s="113"/>
      <c r="K51" s="122"/>
      <c r="L51" s="122"/>
      <c r="M51" s="122"/>
      <c r="N51" s="145"/>
      <c r="O51" s="180"/>
      <c r="P51" s="180"/>
      <c r="Q51" s="145">
        <v>0</v>
      </c>
      <c r="R51" s="173">
        <v>0</v>
      </c>
      <c r="S51" s="173">
        <v>0</v>
      </c>
      <c r="T51" s="64"/>
      <c r="U51" s="64"/>
      <c r="V51" s="64"/>
      <c r="W51" s="133"/>
      <c r="X51" s="133"/>
      <c r="Y51" s="133"/>
      <c r="Z51" s="145"/>
      <c r="AA51" s="180"/>
      <c r="AB51" s="180"/>
      <c r="AC51" s="140"/>
      <c r="AD51" s="161"/>
      <c r="AE51" s="161"/>
      <c r="AF51" s="18">
        <v>0</v>
      </c>
      <c r="AG51" s="19">
        <v>0</v>
      </c>
      <c r="AH51" s="19">
        <v>0</v>
      </c>
      <c r="AJ51" s="12">
        <f t="shared" si="4"/>
        <v>0</v>
      </c>
      <c r="AK51" s="12">
        <f t="shared" si="5"/>
        <v>0</v>
      </c>
    </row>
    <row r="52" spans="1:37" ht="31.5">
      <c r="A52" s="10" t="s">
        <v>38</v>
      </c>
      <c r="B52" s="39">
        <f t="shared" si="18"/>
        <v>0</v>
      </c>
      <c r="C52" s="43">
        <f t="shared" si="15"/>
        <v>0</v>
      </c>
      <c r="D52" s="43">
        <f t="shared" si="16"/>
        <v>0</v>
      </c>
      <c r="E52" s="145"/>
      <c r="F52" s="180"/>
      <c r="G52" s="180"/>
      <c r="H52" s="113"/>
      <c r="I52" s="113"/>
      <c r="J52" s="113"/>
      <c r="K52" s="122"/>
      <c r="L52" s="122"/>
      <c r="M52" s="122"/>
      <c r="N52" s="145"/>
      <c r="O52" s="180"/>
      <c r="P52" s="180"/>
      <c r="Q52" s="145">
        <v>0</v>
      </c>
      <c r="R52" s="173">
        <v>0</v>
      </c>
      <c r="S52" s="173">
        <v>0</v>
      </c>
      <c r="T52" s="64"/>
      <c r="U52" s="64"/>
      <c r="V52" s="64"/>
      <c r="W52" s="133"/>
      <c r="X52" s="133"/>
      <c r="Y52" s="133"/>
      <c r="Z52" s="145"/>
      <c r="AA52" s="180"/>
      <c r="AB52" s="180"/>
      <c r="AC52" s="140"/>
      <c r="AD52" s="161"/>
      <c r="AE52" s="161"/>
      <c r="AF52" s="18">
        <v>0</v>
      </c>
      <c r="AG52" s="19">
        <v>0</v>
      </c>
      <c r="AH52" s="19">
        <v>0</v>
      </c>
      <c r="AJ52" s="12">
        <f t="shared" si="4"/>
        <v>0</v>
      </c>
      <c r="AK52" s="12">
        <f t="shared" si="5"/>
        <v>0</v>
      </c>
    </row>
    <row r="53" spans="1:37" ht="31.5">
      <c r="A53" s="10" t="s">
        <v>32</v>
      </c>
      <c r="B53" s="39">
        <f t="shared" si="18"/>
        <v>0</v>
      </c>
      <c r="C53" s="43">
        <f t="shared" si="15"/>
        <v>0</v>
      </c>
      <c r="D53" s="43">
        <f t="shared" si="16"/>
        <v>0</v>
      </c>
      <c r="E53" s="145"/>
      <c r="F53" s="180"/>
      <c r="G53" s="180"/>
      <c r="H53" s="113"/>
      <c r="I53" s="113"/>
      <c r="J53" s="113"/>
      <c r="K53" s="122"/>
      <c r="L53" s="122"/>
      <c r="M53" s="122"/>
      <c r="N53" s="145"/>
      <c r="O53" s="180"/>
      <c r="P53" s="180"/>
      <c r="Q53" s="145">
        <v>0</v>
      </c>
      <c r="R53" s="173">
        <v>0</v>
      </c>
      <c r="S53" s="173">
        <v>0</v>
      </c>
      <c r="T53" s="64"/>
      <c r="U53" s="64"/>
      <c r="V53" s="64"/>
      <c r="W53" s="133"/>
      <c r="X53" s="133"/>
      <c r="Y53" s="133"/>
      <c r="Z53" s="145"/>
      <c r="AA53" s="180"/>
      <c r="AB53" s="180"/>
      <c r="AC53" s="140"/>
      <c r="AD53" s="161"/>
      <c r="AE53" s="161"/>
      <c r="AF53" s="18">
        <v>0</v>
      </c>
      <c r="AG53" s="19">
        <v>0</v>
      </c>
      <c r="AH53" s="19">
        <v>0</v>
      </c>
      <c r="AJ53" s="12">
        <f t="shared" si="4"/>
        <v>0</v>
      </c>
      <c r="AK53" s="12">
        <f t="shared" si="5"/>
        <v>0</v>
      </c>
    </row>
    <row r="54" spans="1:37">
      <c r="A54" s="10" t="s">
        <v>39</v>
      </c>
      <c r="B54" s="39">
        <f t="shared" si="18"/>
        <v>0</v>
      </c>
      <c r="C54" s="43">
        <f t="shared" si="15"/>
        <v>0</v>
      </c>
      <c r="D54" s="43">
        <f t="shared" si="16"/>
        <v>0</v>
      </c>
      <c r="E54" s="145"/>
      <c r="F54" s="180"/>
      <c r="G54" s="180"/>
      <c r="H54" s="113"/>
      <c r="I54" s="113"/>
      <c r="J54" s="113"/>
      <c r="K54" s="122"/>
      <c r="L54" s="122"/>
      <c r="M54" s="122"/>
      <c r="N54" s="145"/>
      <c r="O54" s="180"/>
      <c r="P54" s="180"/>
      <c r="Q54" s="145">
        <v>0</v>
      </c>
      <c r="R54" s="173">
        <v>0</v>
      </c>
      <c r="S54" s="173">
        <v>0</v>
      </c>
      <c r="T54" s="64"/>
      <c r="U54" s="64"/>
      <c r="V54" s="64"/>
      <c r="W54" s="133"/>
      <c r="X54" s="133"/>
      <c r="Y54" s="133"/>
      <c r="Z54" s="145"/>
      <c r="AA54" s="180"/>
      <c r="AB54" s="180"/>
      <c r="AC54" s="140"/>
      <c r="AD54" s="161"/>
      <c r="AE54" s="161"/>
      <c r="AF54" s="18">
        <v>0</v>
      </c>
      <c r="AG54" s="19">
        <v>0</v>
      </c>
      <c r="AH54" s="19">
        <v>0</v>
      </c>
      <c r="AJ54" s="12">
        <f t="shared" si="4"/>
        <v>0</v>
      </c>
      <c r="AK54" s="12">
        <f t="shared" si="5"/>
        <v>0</v>
      </c>
    </row>
    <row r="55" spans="1:37">
      <c r="A55" s="10" t="s">
        <v>33</v>
      </c>
      <c r="B55" s="39">
        <f t="shared" si="18"/>
        <v>0</v>
      </c>
      <c r="C55" s="43">
        <f t="shared" si="15"/>
        <v>0</v>
      </c>
      <c r="D55" s="43">
        <f t="shared" si="16"/>
        <v>0</v>
      </c>
      <c r="E55" s="145"/>
      <c r="F55" s="180"/>
      <c r="G55" s="180"/>
      <c r="H55" s="113"/>
      <c r="I55" s="113"/>
      <c r="J55" s="113"/>
      <c r="K55" s="122"/>
      <c r="L55" s="122"/>
      <c r="M55" s="122"/>
      <c r="N55" s="145"/>
      <c r="O55" s="180"/>
      <c r="P55" s="180"/>
      <c r="Q55" s="145">
        <v>0</v>
      </c>
      <c r="R55" s="173">
        <v>0</v>
      </c>
      <c r="S55" s="173">
        <v>0</v>
      </c>
      <c r="T55" s="64"/>
      <c r="U55" s="64"/>
      <c r="V55" s="64"/>
      <c r="W55" s="133"/>
      <c r="X55" s="133"/>
      <c r="Y55" s="133"/>
      <c r="Z55" s="145"/>
      <c r="AA55" s="180"/>
      <c r="AB55" s="180"/>
      <c r="AC55" s="140"/>
      <c r="AD55" s="161"/>
      <c r="AE55" s="161"/>
      <c r="AF55" s="18">
        <v>0</v>
      </c>
      <c r="AG55" s="19">
        <v>0</v>
      </c>
      <c r="AH55" s="19">
        <v>0</v>
      </c>
      <c r="AJ55" s="12">
        <f t="shared" si="4"/>
        <v>0</v>
      </c>
      <c r="AK55" s="12">
        <f t="shared" si="5"/>
        <v>0</v>
      </c>
    </row>
    <row r="56" spans="1:37">
      <c r="A56" s="10" t="s">
        <v>34</v>
      </c>
      <c r="B56" s="39">
        <f t="shared" si="18"/>
        <v>0</v>
      </c>
      <c r="C56" s="43">
        <f t="shared" si="15"/>
        <v>0</v>
      </c>
      <c r="D56" s="43">
        <f t="shared" si="16"/>
        <v>0</v>
      </c>
      <c r="E56" s="145"/>
      <c r="F56" s="180"/>
      <c r="G56" s="180"/>
      <c r="H56" s="113"/>
      <c r="I56" s="113"/>
      <c r="J56" s="113"/>
      <c r="K56" s="122"/>
      <c r="L56" s="122"/>
      <c r="M56" s="122"/>
      <c r="N56" s="145"/>
      <c r="O56" s="180"/>
      <c r="P56" s="180"/>
      <c r="Q56" s="145">
        <v>0</v>
      </c>
      <c r="R56" s="173">
        <v>0</v>
      </c>
      <c r="S56" s="173">
        <v>0</v>
      </c>
      <c r="T56" s="64"/>
      <c r="U56" s="64"/>
      <c r="V56" s="64"/>
      <c r="W56" s="133"/>
      <c r="X56" s="133"/>
      <c r="Y56" s="133"/>
      <c r="Z56" s="145"/>
      <c r="AA56" s="180"/>
      <c r="AB56" s="180"/>
      <c r="AC56" s="140"/>
      <c r="AD56" s="161"/>
      <c r="AE56" s="161"/>
      <c r="AF56" s="18">
        <v>0</v>
      </c>
      <c r="AG56" s="19">
        <v>0</v>
      </c>
      <c r="AH56" s="19">
        <v>0</v>
      </c>
      <c r="AJ56" s="12">
        <f t="shared" si="4"/>
        <v>0</v>
      </c>
      <c r="AK56" s="12">
        <f t="shared" si="5"/>
        <v>0</v>
      </c>
    </row>
    <row r="57" spans="1:37">
      <c r="A57" s="10" t="s">
        <v>37</v>
      </c>
      <c r="B57" s="39">
        <f t="shared" si="18"/>
        <v>0</v>
      </c>
      <c r="C57" s="43">
        <f t="shared" si="15"/>
        <v>0</v>
      </c>
      <c r="D57" s="43">
        <f t="shared" si="16"/>
        <v>0</v>
      </c>
      <c r="E57" s="145"/>
      <c r="F57" s="180"/>
      <c r="G57" s="180"/>
      <c r="H57" s="113"/>
      <c r="I57" s="113"/>
      <c r="J57" s="113"/>
      <c r="K57" s="122"/>
      <c r="L57" s="122"/>
      <c r="M57" s="122"/>
      <c r="N57" s="145"/>
      <c r="O57" s="180"/>
      <c r="P57" s="180"/>
      <c r="Q57" s="145">
        <v>0</v>
      </c>
      <c r="R57" s="173">
        <v>0</v>
      </c>
      <c r="S57" s="173">
        <v>0</v>
      </c>
      <c r="T57" s="64"/>
      <c r="U57" s="64"/>
      <c r="V57" s="64"/>
      <c r="W57" s="133"/>
      <c r="X57" s="133"/>
      <c r="Y57" s="133"/>
      <c r="Z57" s="145"/>
      <c r="AA57" s="180"/>
      <c r="AB57" s="180"/>
      <c r="AC57" s="140"/>
      <c r="AD57" s="161"/>
      <c r="AE57" s="161"/>
      <c r="AF57" s="18">
        <v>0</v>
      </c>
      <c r="AG57" s="19">
        <v>0</v>
      </c>
      <c r="AH57" s="19">
        <v>0</v>
      </c>
      <c r="AJ57" s="12">
        <f t="shared" si="4"/>
        <v>0</v>
      </c>
      <c r="AK57" s="12">
        <f t="shared" si="5"/>
        <v>0</v>
      </c>
    </row>
    <row r="58" spans="1:37" ht="31.5">
      <c r="A58" s="10" t="s">
        <v>35</v>
      </c>
      <c r="B58" s="39">
        <f t="shared" si="18"/>
        <v>0</v>
      </c>
      <c r="C58" s="43">
        <f t="shared" si="15"/>
        <v>0</v>
      </c>
      <c r="D58" s="43">
        <f t="shared" si="16"/>
        <v>0</v>
      </c>
      <c r="E58" s="145"/>
      <c r="F58" s="180"/>
      <c r="G58" s="180"/>
      <c r="H58" s="113"/>
      <c r="I58" s="113"/>
      <c r="J58" s="113"/>
      <c r="K58" s="122"/>
      <c r="L58" s="122"/>
      <c r="M58" s="122"/>
      <c r="N58" s="145"/>
      <c r="O58" s="180"/>
      <c r="P58" s="180"/>
      <c r="Q58" s="145">
        <v>0</v>
      </c>
      <c r="R58" s="173">
        <v>0</v>
      </c>
      <c r="S58" s="173">
        <v>0</v>
      </c>
      <c r="T58" s="64"/>
      <c r="U58" s="64"/>
      <c r="V58" s="64"/>
      <c r="W58" s="133"/>
      <c r="X58" s="133"/>
      <c r="Y58" s="133"/>
      <c r="Z58" s="145"/>
      <c r="AA58" s="180"/>
      <c r="AB58" s="180"/>
      <c r="AC58" s="140"/>
      <c r="AD58" s="161"/>
      <c r="AE58" s="161"/>
      <c r="AF58" s="18">
        <v>0</v>
      </c>
      <c r="AG58" s="19">
        <v>0</v>
      </c>
      <c r="AH58" s="19">
        <v>0</v>
      </c>
      <c r="AJ58" s="12">
        <f t="shared" si="4"/>
        <v>0</v>
      </c>
      <c r="AK58" s="12">
        <f t="shared" si="5"/>
        <v>0</v>
      </c>
    </row>
    <row r="59" spans="1:37">
      <c r="A59" s="10" t="s">
        <v>36</v>
      </c>
      <c r="B59" s="39">
        <v>11.7</v>
      </c>
      <c r="C59" s="43">
        <f t="shared" si="15"/>
        <v>0</v>
      </c>
      <c r="D59" s="43">
        <f t="shared" si="16"/>
        <v>0</v>
      </c>
      <c r="E59" s="145"/>
      <c r="F59" s="180"/>
      <c r="G59" s="180"/>
      <c r="H59" s="113"/>
      <c r="I59" s="113"/>
      <c r="J59" s="113"/>
      <c r="K59" s="122"/>
      <c r="L59" s="122"/>
      <c r="M59" s="122"/>
      <c r="N59" s="145"/>
      <c r="O59" s="180"/>
      <c r="P59" s="180"/>
      <c r="Q59" s="145">
        <v>11.7</v>
      </c>
      <c r="R59" s="173">
        <v>0</v>
      </c>
      <c r="S59" s="173">
        <v>0</v>
      </c>
      <c r="T59" s="64"/>
      <c r="U59" s="64"/>
      <c r="V59" s="64"/>
      <c r="W59" s="133"/>
      <c r="X59" s="133"/>
      <c r="Y59" s="133"/>
      <c r="Z59" s="145"/>
      <c r="AA59" s="180"/>
      <c r="AB59" s="180"/>
      <c r="AC59" s="140"/>
      <c r="AD59" s="161"/>
      <c r="AE59" s="161"/>
      <c r="AF59" s="18">
        <v>0</v>
      </c>
      <c r="AG59" s="19">
        <v>0</v>
      </c>
      <c r="AH59" s="19">
        <v>0</v>
      </c>
      <c r="AJ59" s="12">
        <f t="shared" si="4"/>
        <v>0</v>
      </c>
      <c r="AK59" s="12">
        <f t="shared" si="5"/>
        <v>0</v>
      </c>
    </row>
    <row r="60" spans="1:37">
      <c r="A60" s="10" t="s">
        <v>30</v>
      </c>
      <c r="B60" s="39">
        <v>314.10000000000002</v>
      </c>
      <c r="C60" s="43">
        <f t="shared" si="15"/>
        <v>267.5</v>
      </c>
      <c r="D60" s="43">
        <f t="shared" si="16"/>
        <v>32.4</v>
      </c>
      <c r="E60" s="145"/>
      <c r="F60" s="180"/>
      <c r="G60" s="180"/>
      <c r="H60" s="113"/>
      <c r="I60" s="113"/>
      <c r="J60" s="113"/>
      <c r="K60" s="122"/>
      <c r="L60" s="122"/>
      <c r="M60" s="122"/>
      <c r="N60" s="145"/>
      <c r="O60" s="180"/>
      <c r="P60" s="180"/>
      <c r="Q60" s="145">
        <v>21.2</v>
      </c>
      <c r="R60" s="173">
        <v>0</v>
      </c>
      <c r="S60" s="173">
        <v>0</v>
      </c>
      <c r="T60" s="64"/>
      <c r="U60" s="64"/>
      <c r="V60" s="64"/>
      <c r="W60" s="133"/>
      <c r="X60" s="133"/>
      <c r="Y60" s="133"/>
      <c r="Z60" s="145"/>
      <c r="AA60" s="180"/>
      <c r="AB60" s="180"/>
      <c r="AC60" s="140">
        <v>292.89999999999998</v>
      </c>
      <c r="AD60" s="161">
        <v>267.5</v>
      </c>
      <c r="AE60" s="161">
        <v>32.4</v>
      </c>
      <c r="AF60" s="18">
        <v>0</v>
      </c>
      <c r="AG60" s="19">
        <v>0</v>
      </c>
      <c r="AH60" s="19">
        <v>0</v>
      </c>
      <c r="AJ60" s="12">
        <f t="shared" si="4"/>
        <v>267.5</v>
      </c>
      <c r="AK60" s="12">
        <f t="shared" si="5"/>
        <v>0</v>
      </c>
    </row>
    <row r="61" spans="1:37">
      <c r="A61" s="10" t="s">
        <v>78</v>
      </c>
      <c r="B61" s="39">
        <v>130.30000000000001</v>
      </c>
      <c r="C61" s="43">
        <f t="shared" si="15"/>
        <v>140.30000000000001</v>
      </c>
      <c r="D61" s="43">
        <f t="shared" si="16"/>
        <v>0</v>
      </c>
      <c r="E61" s="145"/>
      <c r="F61" s="180"/>
      <c r="G61" s="180"/>
      <c r="H61" s="113"/>
      <c r="I61" s="113"/>
      <c r="J61" s="113"/>
      <c r="K61" s="122"/>
      <c r="L61" s="122"/>
      <c r="M61" s="122"/>
      <c r="N61" s="145"/>
      <c r="O61" s="180"/>
      <c r="P61" s="180"/>
      <c r="Q61" s="145">
        <v>0</v>
      </c>
      <c r="R61" s="173">
        <v>0</v>
      </c>
      <c r="S61" s="173">
        <v>0</v>
      </c>
      <c r="T61" s="64">
        <v>0</v>
      </c>
      <c r="U61" s="64">
        <v>0</v>
      </c>
      <c r="V61" s="64">
        <v>0</v>
      </c>
      <c r="W61" s="133"/>
      <c r="X61" s="133"/>
      <c r="Y61" s="133"/>
      <c r="Z61" s="145"/>
      <c r="AA61" s="180"/>
      <c r="AB61" s="180"/>
      <c r="AC61" s="140">
        <v>130.30000000000001</v>
      </c>
      <c r="AD61" s="161">
        <v>140.30000000000001</v>
      </c>
      <c r="AE61" s="161">
        <v>0</v>
      </c>
      <c r="AF61" s="18">
        <v>0</v>
      </c>
      <c r="AG61" s="19">
        <v>0</v>
      </c>
      <c r="AH61" s="19">
        <v>0</v>
      </c>
      <c r="AJ61" s="12">
        <f t="shared" si="4"/>
        <v>140.30000000000001</v>
      </c>
      <c r="AK61" s="12">
        <f t="shared" si="5"/>
        <v>0</v>
      </c>
    </row>
    <row r="62" spans="1:37">
      <c r="A62" s="10" t="s">
        <v>21</v>
      </c>
      <c r="B62" s="39">
        <v>2041.7</v>
      </c>
      <c r="C62" s="43">
        <f t="shared" si="15"/>
        <v>591.6</v>
      </c>
      <c r="D62" s="43">
        <f t="shared" si="16"/>
        <v>58.6</v>
      </c>
      <c r="E62" s="145">
        <v>0.7</v>
      </c>
      <c r="F62" s="180">
        <v>0</v>
      </c>
      <c r="G62" s="180">
        <v>0</v>
      </c>
      <c r="H62" s="113">
        <v>202.5</v>
      </c>
      <c r="I62" s="113">
        <v>133.19999999999999</v>
      </c>
      <c r="J62" s="113">
        <v>47.6</v>
      </c>
      <c r="K62" s="122"/>
      <c r="L62" s="122"/>
      <c r="M62" s="122"/>
      <c r="N62" s="145">
        <v>16.399999999999999</v>
      </c>
      <c r="O62" s="180"/>
      <c r="P62" s="180"/>
      <c r="Q62" s="145">
        <v>119.7</v>
      </c>
      <c r="R62" s="173">
        <v>27.7</v>
      </c>
      <c r="S62" s="173">
        <v>0</v>
      </c>
      <c r="T62" s="64">
        <f>1581.2+0.2</f>
        <v>1581.4</v>
      </c>
      <c r="U62" s="64">
        <v>300.60000000000002</v>
      </c>
      <c r="V62" s="64">
        <v>4.2</v>
      </c>
      <c r="W62" s="133"/>
      <c r="X62" s="133"/>
      <c r="Y62" s="133"/>
      <c r="Z62" s="59">
        <v>121</v>
      </c>
      <c r="AA62" s="180">
        <v>118.1</v>
      </c>
      <c r="AB62" s="187">
        <v>6.8</v>
      </c>
      <c r="AC62" s="140">
        <v>0</v>
      </c>
      <c r="AD62" s="161">
        <v>12</v>
      </c>
      <c r="AE62" s="161">
        <v>0</v>
      </c>
      <c r="AF62" s="18">
        <v>0</v>
      </c>
      <c r="AG62" s="19">
        <v>0</v>
      </c>
      <c r="AH62" s="19">
        <v>0</v>
      </c>
      <c r="AJ62" s="12">
        <f t="shared" si="4"/>
        <v>591.6</v>
      </c>
      <c r="AK62" s="12">
        <f t="shared" si="5"/>
        <v>0</v>
      </c>
    </row>
    <row r="63" spans="1:37">
      <c r="A63" s="29" t="s">
        <v>79</v>
      </c>
      <c r="B63" s="39"/>
      <c r="C63" s="26"/>
      <c r="D63" s="26"/>
      <c r="E63" s="145">
        <v>0</v>
      </c>
      <c r="F63" s="180">
        <v>3.6</v>
      </c>
      <c r="G63" s="180">
        <v>0</v>
      </c>
      <c r="H63" s="113"/>
      <c r="I63" s="113"/>
      <c r="J63" s="113"/>
      <c r="K63" s="123">
        <f>K65</f>
        <v>119.8</v>
      </c>
      <c r="L63" s="123">
        <f>L65</f>
        <v>149.30000000000001</v>
      </c>
      <c r="M63" s="123">
        <f>M65</f>
        <v>11.4</v>
      </c>
      <c r="N63" s="145"/>
      <c r="O63" s="180"/>
      <c r="P63" s="180"/>
      <c r="Q63" s="145">
        <v>0</v>
      </c>
      <c r="R63" s="173">
        <v>0</v>
      </c>
      <c r="S63" s="173">
        <v>0</v>
      </c>
      <c r="T63" s="64"/>
      <c r="U63" s="64"/>
      <c r="V63" s="64"/>
      <c r="W63" s="133">
        <v>3.1</v>
      </c>
      <c r="X63" s="133">
        <v>0</v>
      </c>
      <c r="Y63" s="133">
        <v>0</v>
      </c>
      <c r="Z63" s="60"/>
      <c r="AA63" s="180"/>
      <c r="AB63" s="185"/>
      <c r="AC63" s="141">
        <v>0</v>
      </c>
      <c r="AD63" s="162">
        <v>0</v>
      </c>
      <c r="AE63" s="162">
        <v>0</v>
      </c>
      <c r="AF63" s="18">
        <v>0</v>
      </c>
      <c r="AG63" s="19">
        <v>0</v>
      </c>
      <c r="AH63" s="19">
        <v>0</v>
      </c>
      <c r="AJ63" s="12">
        <f t="shared" si="4"/>
        <v>152.9</v>
      </c>
      <c r="AK63" s="12">
        <f t="shared" si="5"/>
        <v>152.9</v>
      </c>
    </row>
    <row r="64" spans="1:37" ht="31.5">
      <c r="A64" s="10" t="s">
        <v>80</v>
      </c>
      <c r="B64" s="39">
        <v>12.6</v>
      </c>
      <c r="C64" s="43">
        <f t="shared" ref="C64:C72" si="19">F64+I64+L64+O64+R64+U64+X64+AA64+AD64</f>
        <v>31</v>
      </c>
      <c r="D64" s="43">
        <f t="shared" ref="D64:D72" si="20">G64+J64+M64+P64+S64+V64+Y64+AB64+AE64</f>
        <v>0</v>
      </c>
      <c r="E64" s="147">
        <v>0</v>
      </c>
      <c r="F64" s="182">
        <v>3.6</v>
      </c>
      <c r="G64" s="182">
        <v>0</v>
      </c>
      <c r="H64" s="111"/>
      <c r="I64" s="111"/>
      <c r="J64" s="111"/>
      <c r="K64" s="124"/>
      <c r="L64" s="124"/>
      <c r="M64" s="124"/>
      <c r="N64" s="147"/>
      <c r="O64" s="182"/>
      <c r="P64" s="182"/>
      <c r="Q64" s="145">
        <v>10.7</v>
      </c>
      <c r="R64" s="175">
        <v>27.4</v>
      </c>
      <c r="S64" s="173">
        <v>0</v>
      </c>
      <c r="T64" s="64">
        <v>1.9</v>
      </c>
      <c r="U64" s="64">
        <v>0</v>
      </c>
      <c r="V64" s="64">
        <v>0</v>
      </c>
      <c r="W64" s="136"/>
      <c r="X64" s="136"/>
      <c r="Y64" s="136"/>
      <c r="Z64" s="68"/>
      <c r="AA64" s="182"/>
      <c r="AB64" s="186"/>
      <c r="AC64" s="140"/>
      <c r="AD64" s="161"/>
      <c r="AE64" s="161"/>
      <c r="AF64" s="18">
        <v>0</v>
      </c>
      <c r="AG64" s="19">
        <v>0</v>
      </c>
      <c r="AH64" s="19">
        <v>0</v>
      </c>
      <c r="AJ64" s="12">
        <f t="shared" si="4"/>
        <v>31</v>
      </c>
      <c r="AK64" s="12">
        <f t="shared" si="5"/>
        <v>0</v>
      </c>
    </row>
    <row r="65" spans="1:37">
      <c r="A65" s="10" t="s">
        <v>81</v>
      </c>
      <c r="B65" s="39">
        <v>205.8</v>
      </c>
      <c r="C65" s="43">
        <f t="shared" si="19"/>
        <v>228.8</v>
      </c>
      <c r="D65" s="43">
        <f t="shared" si="20"/>
        <v>18</v>
      </c>
      <c r="E65" s="145"/>
      <c r="F65" s="180"/>
      <c r="G65" s="180"/>
      <c r="H65" s="113"/>
      <c r="I65" s="113"/>
      <c r="J65" s="113"/>
      <c r="K65" s="122">
        <v>119.8</v>
      </c>
      <c r="L65" s="122">
        <v>149.30000000000001</v>
      </c>
      <c r="M65" s="122">
        <v>11.4</v>
      </c>
      <c r="N65" s="145"/>
      <c r="O65" s="180"/>
      <c r="P65" s="180"/>
      <c r="Q65" s="145">
        <v>86</v>
      </c>
      <c r="R65" s="173">
        <v>79.5</v>
      </c>
      <c r="S65" s="173">
        <v>6.6</v>
      </c>
      <c r="T65" s="64"/>
      <c r="U65" s="64"/>
      <c r="V65" s="64"/>
      <c r="W65" s="133"/>
      <c r="X65" s="133"/>
      <c r="Y65" s="133"/>
      <c r="Z65" s="60"/>
      <c r="AA65" s="180"/>
      <c r="AB65" s="185"/>
      <c r="AC65" s="140"/>
      <c r="AD65" s="161"/>
      <c r="AE65" s="161"/>
      <c r="AF65" s="16">
        <f t="shared" ref="AF65:AH65" si="21">AF66+AF67</f>
        <v>0</v>
      </c>
      <c r="AG65" s="13">
        <f t="shared" si="21"/>
        <v>0</v>
      </c>
      <c r="AH65" s="13">
        <f t="shared" si="21"/>
        <v>0</v>
      </c>
      <c r="AJ65" s="12">
        <f t="shared" si="4"/>
        <v>228.8</v>
      </c>
      <c r="AK65" s="12">
        <f t="shared" si="5"/>
        <v>0</v>
      </c>
    </row>
    <row r="66" spans="1:37">
      <c r="A66" s="10" t="s">
        <v>15</v>
      </c>
      <c r="B66" s="39">
        <f t="shared" ref="B66:B70" si="22">E66+H66+K66+N66+Q66+T66+W66+Z66+AC66</f>
        <v>0</v>
      </c>
      <c r="C66" s="43">
        <f t="shared" si="19"/>
        <v>0</v>
      </c>
      <c r="D66" s="43">
        <f t="shared" si="20"/>
        <v>0</v>
      </c>
      <c r="E66" s="145"/>
      <c r="F66" s="180"/>
      <c r="G66" s="180"/>
      <c r="H66" s="113"/>
      <c r="I66" s="113"/>
      <c r="J66" s="113"/>
      <c r="K66" s="122"/>
      <c r="L66" s="122"/>
      <c r="M66" s="122"/>
      <c r="N66" s="145"/>
      <c r="O66" s="180"/>
      <c r="P66" s="180"/>
      <c r="Q66" s="145">
        <v>0</v>
      </c>
      <c r="R66" s="173">
        <v>0</v>
      </c>
      <c r="S66" s="173">
        <v>0</v>
      </c>
      <c r="T66" s="64"/>
      <c r="U66" s="64"/>
      <c r="V66" s="64"/>
      <c r="W66" s="133"/>
      <c r="X66" s="133"/>
      <c r="Y66" s="133"/>
      <c r="Z66" s="60"/>
      <c r="AA66" s="180"/>
      <c r="AB66" s="185"/>
      <c r="AC66" s="140"/>
      <c r="AD66" s="161"/>
      <c r="AE66" s="161"/>
      <c r="AF66" s="18">
        <v>0</v>
      </c>
      <c r="AG66" s="19">
        <v>0</v>
      </c>
      <c r="AH66" s="19">
        <v>0</v>
      </c>
      <c r="AJ66" s="12">
        <f t="shared" si="4"/>
        <v>0</v>
      </c>
      <c r="AK66" s="12">
        <f t="shared" si="5"/>
        <v>0</v>
      </c>
    </row>
    <row r="67" spans="1:37" ht="31.5">
      <c r="A67" s="10" t="s">
        <v>82</v>
      </c>
      <c r="B67" s="39">
        <v>260</v>
      </c>
      <c r="C67" s="43">
        <f t="shared" si="19"/>
        <v>260.5</v>
      </c>
      <c r="D67" s="43">
        <f t="shared" si="20"/>
        <v>260</v>
      </c>
      <c r="E67" s="145"/>
      <c r="F67" s="180"/>
      <c r="G67" s="180"/>
      <c r="H67" s="113">
        <v>260</v>
      </c>
      <c r="I67" s="113">
        <v>260.5</v>
      </c>
      <c r="J67" s="113">
        <v>260</v>
      </c>
      <c r="K67" s="122"/>
      <c r="L67" s="122"/>
      <c r="M67" s="122"/>
      <c r="N67" s="145"/>
      <c r="O67" s="180"/>
      <c r="P67" s="180"/>
      <c r="Q67" s="145">
        <v>0</v>
      </c>
      <c r="R67" s="173">
        <v>0</v>
      </c>
      <c r="S67" s="173">
        <v>0</v>
      </c>
      <c r="T67" s="64"/>
      <c r="U67" s="64"/>
      <c r="V67" s="64"/>
      <c r="W67" s="133"/>
      <c r="X67" s="133"/>
      <c r="Y67" s="133"/>
      <c r="Z67" s="60"/>
      <c r="AA67" s="180"/>
      <c r="AB67" s="185"/>
      <c r="AC67" s="140"/>
      <c r="AD67" s="161"/>
      <c r="AE67" s="161"/>
      <c r="AF67" s="18">
        <v>0</v>
      </c>
      <c r="AG67" s="19">
        <v>0</v>
      </c>
      <c r="AH67" s="19">
        <v>0</v>
      </c>
      <c r="AJ67" s="12">
        <f t="shared" si="4"/>
        <v>260.5</v>
      </c>
      <c r="AK67" s="12">
        <f t="shared" si="5"/>
        <v>0</v>
      </c>
    </row>
    <row r="68" spans="1:37">
      <c r="A68" s="10" t="s">
        <v>83</v>
      </c>
      <c r="B68" s="39">
        <f t="shared" si="22"/>
        <v>0</v>
      </c>
      <c r="C68" s="43">
        <f t="shared" si="19"/>
        <v>0</v>
      </c>
      <c r="D68" s="43">
        <f t="shared" si="20"/>
        <v>0</v>
      </c>
      <c r="E68" s="145"/>
      <c r="F68" s="180"/>
      <c r="G68" s="180"/>
      <c r="H68" s="113"/>
      <c r="I68" s="113"/>
      <c r="J68" s="113"/>
      <c r="K68" s="122"/>
      <c r="L68" s="122"/>
      <c r="M68" s="122"/>
      <c r="N68" s="145"/>
      <c r="O68" s="180"/>
      <c r="P68" s="180"/>
      <c r="Q68" s="145">
        <v>0</v>
      </c>
      <c r="R68" s="173">
        <v>0</v>
      </c>
      <c r="S68" s="173">
        <v>0</v>
      </c>
      <c r="T68" s="64"/>
      <c r="U68" s="64"/>
      <c r="V68" s="64"/>
      <c r="W68" s="133"/>
      <c r="X68" s="133"/>
      <c r="Y68" s="133"/>
      <c r="Z68" s="60"/>
      <c r="AA68" s="180"/>
      <c r="AB68" s="185"/>
      <c r="AC68" s="140"/>
      <c r="AD68" s="161"/>
      <c r="AE68" s="161"/>
      <c r="AF68" s="16">
        <f t="shared" ref="AF68:AH68" si="23">AF69</f>
        <v>0</v>
      </c>
      <c r="AG68" s="13">
        <f t="shared" si="23"/>
        <v>0</v>
      </c>
      <c r="AH68" s="13">
        <f t="shared" si="23"/>
        <v>0</v>
      </c>
      <c r="AJ68" s="12">
        <f t="shared" si="4"/>
        <v>0</v>
      </c>
      <c r="AK68" s="12">
        <f t="shared" si="5"/>
        <v>0</v>
      </c>
    </row>
    <row r="69" spans="1:37">
      <c r="A69" s="10" t="s">
        <v>84</v>
      </c>
      <c r="B69" s="39">
        <v>1906.3</v>
      </c>
      <c r="C69" s="43">
        <f t="shared" si="19"/>
        <v>147.1</v>
      </c>
      <c r="D69" s="43">
        <f t="shared" si="20"/>
        <v>147</v>
      </c>
      <c r="E69" s="145"/>
      <c r="F69" s="180"/>
      <c r="G69" s="180"/>
      <c r="H69" s="113">
        <v>5.5</v>
      </c>
      <c r="I69" s="113"/>
      <c r="J69" s="113"/>
      <c r="K69" s="122"/>
      <c r="L69" s="122"/>
      <c r="M69" s="122"/>
      <c r="N69" s="145"/>
      <c r="O69" s="180"/>
      <c r="P69" s="180"/>
      <c r="Q69" s="145">
        <v>0</v>
      </c>
      <c r="R69" s="173">
        <v>0</v>
      </c>
      <c r="S69" s="173">
        <v>0</v>
      </c>
      <c r="T69" s="64">
        <v>1900.8</v>
      </c>
      <c r="U69" s="64">
        <v>147.1</v>
      </c>
      <c r="V69" s="64">
        <v>147</v>
      </c>
      <c r="W69" s="133"/>
      <c r="X69" s="133"/>
      <c r="Y69" s="133"/>
      <c r="Z69" s="60"/>
      <c r="AA69" s="180"/>
      <c r="AB69" s="185"/>
      <c r="AC69" s="140">
        <v>0</v>
      </c>
      <c r="AD69" s="161">
        <v>0</v>
      </c>
      <c r="AE69" s="161">
        <v>0</v>
      </c>
      <c r="AF69" s="18">
        <v>0</v>
      </c>
      <c r="AG69" s="19">
        <v>0</v>
      </c>
      <c r="AH69" s="19">
        <v>0</v>
      </c>
      <c r="AJ69" s="12">
        <f t="shared" si="4"/>
        <v>147.1</v>
      </c>
      <c r="AK69" s="12">
        <f t="shared" si="5"/>
        <v>0</v>
      </c>
    </row>
    <row r="70" spans="1:37" s="6" customFormat="1">
      <c r="A70" s="10" t="s">
        <v>85</v>
      </c>
      <c r="B70" s="39">
        <f t="shared" si="22"/>
        <v>0</v>
      </c>
      <c r="C70" s="43">
        <f t="shared" si="19"/>
        <v>0</v>
      </c>
      <c r="D70" s="43">
        <f t="shared" si="20"/>
        <v>0</v>
      </c>
      <c r="E70" s="145"/>
      <c r="F70" s="180"/>
      <c r="G70" s="180"/>
      <c r="H70" s="113"/>
      <c r="I70" s="113"/>
      <c r="J70" s="113"/>
      <c r="K70" s="122"/>
      <c r="L70" s="122"/>
      <c r="M70" s="122"/>
      <c r="N70" s="145"/>
      <c r="O70" s="180"/>
      <c r="P70" s="180"/>
      <c r="Q70" s="145">
        <v>0</v>
      </c>
      <c r="R70" s="173"/>
      <c r="S70" s="173">
        <v>0</v>
      </c>
      <c r="T70" s="64"/>
      <c r="U70" s="64"/>
      <c r="V70" s="64"/>
      <c r="W70" s="133"/>
      <c r="X70" s="133"/>
      <c r="Y70" s="133"/>
      <c r="Z70" s="145"/>
      <c r="AA70" s="180"/>
      <c r="AB70" s="180"/>
      <c r="AC70" s="140"/>
      <c r="AD70" s="161"/>
      <c r="AE70" s="161"/>
      <c r="AF70" s="16">
        <f>AF72+AF71+AF73+AF74+AF77</f>
        <v>0</v>
      </c>
      <c r="AG70" s="13">
        <f>AG71+AG72+AG73+AG74+AG77</f>
        <v>0</v>
      </c>
      <c r="AH70" s="13">
        <f>AH71+AH72+AH73+AH74+AH77</f>
        <v>0</v>
      </c>
      <c r="AJ70" s="12">
        <f t="shared" si="4"/>
        <v>0</v>
      </c>
      <c r="AK70" s="12">
        <f t="shared" si="5"/>
        <v>0</v>
      </c>
    </row>
    <row r="71" spans="1:37" s="6" customFormat="1">
      <c r="A71" s="10" t="s">
        <v>86</v>
      </c>
      <c r="B71" s="39">
        <v>3.1</v>
      </c>
      <c r="C71" s="43">
        <f t="shared" si="19"/>
        <v>0</v>
      </c>
      <c r="D71" s="43">
        <f t="shared" si="20"/>
        <v>0</v>
      </c>
      <c r="E71" s="145"/>
      <c r="F71" s="180"/>
      <c r="G71" s="180"/>
      <c r="H71" s="113"/>
      <c r="I71" s="113"/>
      <c r="J71" s="113"/>
      <c r="K71" s="122"/>
      <c r="L71" s="122"/>
      <c r="M71" s="122"/>
      <c r="N71" s="145"/>
      <c r="O71" s="180"/>
      <c r="P71" s="180"/>
      <c r="Q71" s="145">
        <v>0</v>
      </c>
      <c r="R71" s="173">
        <v>0</v>
      </c>
      <c r="S71" s="173">
        <v>0</v>
      </c>
      <c r="T71" s="64"/>
      <c r="U71" s="64"/>
      <c r="V71" s="64"/>
      <c r="W71" s="133">
        <v>3.1</v>
      </c>
      <c r="X71" s="133">
        <v>0</v>
      </c>
      <c r="Y71" s="133">
        <v>0</v>
      </c>
      <c r="Z71" s="145"/>
      <c r="AA71" s="180"/>
      <c r="AB71" s="180"/>
      <c r="AC71" s="140">
        <v>0</v>
      </c>
      <c r="AD71" s="161">
        <v>0</v>
      </c>
      <c r="AE71" s="161">
        <v>0</v>
      </c>
      <c r="AF71" s="16">
        <v>0</v>
      </c>
      <c r="AG71" s="13">
        <v>0</v>
      </c>
      <c r="AH71" s="13">
        <v>0</v>
      </c>
      <c r="AJ71" s="12">
        <f t="shared" si="4"/>
        <v>0</v>
      </c>
      <c r="AK71" s="12">
        <f t="shared" si="5"/>
        <v>0</v>
      </c>
    </row>
    <row r="72" spans="1:37" s="6" customFormat="1">
      <c r="A72" s="29" t="s">
        <v>87</v>
      </c>
      <c r="B72" s="39"/>
      <c r="C72" s="43">
        <f t="shared" si="19"/>
        <v>0</v>
      </c>
      <c r="D72" s="43">
        <f t="shared" si="20"/>
        <v>0</v>
      </c>
      <c r="E72" s="145">
        <f>E74</f>
        <v>0</v>
      </c>
      <c r="F72" s="179">
        <f>F74</f>
        <v>0</v>
      </c>
      <c r="G72" s="179">
        <f>G74</f>
        <v>0</v>
      </c>
      <c r="H72" s="113"/>
      <c r="I72" s="113"/>
      <c r="J72" s="113"/>
      <c r="K72" s="122"/>
      <c r="L72" s="122"/>
      <c r="M72" s="122"/>
      <c r="N72" s="145"/>
      <c r="O72" s="180"/>
      <c r="P72" s="180"/>
      <c r="Q72" s="145">
        <v>0</v>
      </c>
      <c r="R72" s="173">
        <v>0</v>
      </c>
      <c r="S72" s="173">
        <v>0</v>
      </c>
      <c r="T72" s="64"/>
      <c r="U72" s="64"/>
      <c r="V72" s="64"/>
      <c r="W72" s="133"/>
      <c r="X72" s="133"/>
      <c r="Y72" s="133"/>
      <c r="Z72" s="145"/>
      <c r="AA72" s="180"/>
      <c r="AB72" s="180"/>
      <c r="AC72" s="140"/>
      <c r="AD72" s="161"/>
      <c r="AE72" s="161"/>
      <c r="AF72" s="16">
        <v>0</v>
      </c>
      <c r="AG72" s="13">
        <v>0</v>
      </c>
      <c r="AH72" s="13">
        <v>0</v>
      </c>
      <c r="AJ72" s="12">
        <f t="shared" si="4"/>
        <v>0</v>
      </c>
      <c r="AK72" s="12">
        <f t="shared" si="5"/>
        <v>0</v>
      </c>
    </row>
    <row r="73" spans="1:37" s="6" customFormat="1" ht="31.5">
      <c r="A73" s="10" t="s">
        <v>88</v>
      </c>
      <c r="B73" s="39">
        <f>E73+H73+K73+N73+Q73+T73+W73+Z73+AC73</f>
        <v>0</v>
      </c>
      <c r="C73" s="43">
        <f t="shared" ref="C73:C76" si="24">F73+I73+L73+O73+R73+U73+X73+AA73+AD73</f>
        <v>0</v>
      </c>
      <c r="D73" s="43">
        <f t="shared" ref="D73:D75" si="25">G73+J73+M73+P73+S73+V73+Y73+AB73+AE73</f>
        <v>0</v>
      </c>
      <c r="E73" s="145"/>
      <c r="F73" s="180"/>
      <c r="G73" s="180"/>
      <c r="H73" s="113"/>
      <c r="I73" s="113"/>
      <c r="J73" s="113"/>
      <c r="K73" s="122"/>
      <c r="L73" s="122"/>
      <c r="M73" s="122"/>
      <c r="N73" s="145"/>
      <c r="O73" s="180"/>
      <c r="P73" s="180"/>
      <c r="Q73" s="145">
        <v>0</v>
      </c>
      <c r="R73" s="173">
        <v>0</v>
      </c>
      <c r="S73" s="173">
        <v>0</v>
      </c>
      <c r="T73" s="64"/>
      <c r="U73" s="64"/>
      <c r="V73" s="64"/>
      <c r="W73" s="133"/>
      <c r="X73" s="133"/>
      <c r="Y73" s="133"/>
      <c r="Z73" s="145"/>
      <c r="AA73" s="180"/>
      <c r="AB73" s="180"/>
      <c r="AC73" s="140"/>
      <c r="AD73" s="161"/>
      <c r="AE73" s="161"/>
      <c r="AF73" s="16">
        <v>0</v>
      </c>
      <c r="AG73" s="13">
        <v>0</v>
      </c>
      <c r="AH73" s="13">
        <v>0</v>
      </c>
      <c r="AJ73" s="12">
        <f t="shared" si="4"/>
        <v>0</v>
      </c>
      <c r="AK73" s="12">
        <f t="shared" si="5"/>
        <v>0</v>
      </c>
    </row>
    <row r="74" spans="1:37" s="6" customFormat="1" ht="31.5">
      <c r="A74" s="10" t="s">
        <v>89</v>
      </c>
      <c r="B74" s="39">
        <f t="shared" ref="B74:B75" si="26">E74+H74+K74+N74+Q74+T74+W74+Z74+AC74</f>
        <v>0</v>
      </c>
      <c r="C74" s="43">
        <f t="shared" si="24"/>
        <v>0</v>
      </c>
      <c r="D74" s="43">
        <f t="shared" si="25"/>
        <v>0</v>
      </c>
      <c r="E74" s="145">
        <v>0</v>
      </c>
      <c r="F74" s="180">
        <v>0</v>
      </c>
      <c r="G74" s="180">
        <v>0</v>
      </c>
      <c r="H74" s="113"/>
      <c r="I74" s="113"/>
      <c r="J74" s="113"/>
      <c r="K74" s="122"/>
      <c r="L74" s="122"/>
      <c r="M74" s="122"/>
      <c r="N74" s="145"/>
      <c r="O74" s="180"/>
      <c r="P74" s="180"/>
      <c r="Q74" s="145">
        <v>0</v>
      </c>
      <c r="R74" s="173">
        <v>0</v>
      </c>
      <c r="S74" s="173">
        <v>0</v>
      </c>
      <c r="T74" s="64"/>
      <c r="U74" s="64"/>
      <c r="V74" s="64"/>
      <c r="W74" s="133"/>
      <c r="X74" s="133"/>
      <c r="Y74" s="133"/>
      <c r="Z74" s="145"/>
      <c r="AA74" s="180"/>
      <c r="AB74" s="180"/>
      <c r="AC74" s="140"/>
      <c r="AD74" s="161"/>
      <c r="AE74" s="161"/>
      <c r="AF74" s="16">
        <v>0</v>
      </c>
      <c r="AG74" s="13">
        <v>0</v>
      </c>
      <c r="AH74" s="13">
        <v>0</v>
      </c>
      <c r="AJ74" s="12">
        <f t="shared" si="4"/>
        <v>0</v>
      </c>
      <c r="AK74" s="12">
        <f t="shared" si="5"/>
        <v>0</v>
      </c>
    </row>
    <row r="75" spans="1:37" s="6" customFormat="1" ht="31.5">
      <c r="A75" s="10" t="s">
        <v>90</v>
      </c>
      <c r="B75" s="39">
        <f t="shared" si="26"/>
        <v>0</v>
      </c>
      <c r="C75" s="43">
        <f t="shared" si="24"/>
        <v>0</v>
      </c>
      <c r="D75" s="43">
        <f t="shared" si="25"/>
        <v>0</v>
      </c>
      <c r="E75" s="145"/>
      <c r="F75" s="180">
        <v>0</v>
      </c>
      <c r="G75" s="180"/>
      <c r="H75" s="113"/>
      <c r="I75" s="113"/>
      <c r="J75" s="113"/>
      <c r="K75" s="122"/>
      <c r="L75" s="122"/>
      <c r="M75" s="122"/>
      <c r="N75" s="145"/>
      <c r="O75" s="180"/>
      <c r="P75" s="180"/>
      <c r="Q75" s="145">
        <v>0</v>
      </c>
      <c r="R75" s="173">
        <v>0</v>
      </c>
      <c r="S75" s="173">
        <v>0</v>
      </c>
      <c r="T75" s="64"/>
      <c r="U75" s="64"/>
      <c r="V75" s="64"/>
      <c r="W75" s="133"/>
      <c r="X75" s="133"/>
      <c r="Y75" s="133"/>
      <c r="Z75" s="145"/>
      <c r="AA75" s="180"/>
      <c r="AB75" s="180"/>
      <c r="AC75" s="140"/>
      <c r="AD75" s="161"/>
      <c r="AE75" s="161"/>
      <c r="AF75" s="18">
        <v>0</v>
      </c>
      <c r="AG75" s="19">
        <v>0</v>
      </c>
      <c r="AH75" s="19">
        <v>0</v>
      </c>
      <c r="AJ75" s="12">
        <f t="shared" ref="AJ75:AJ88" si="27">AD75+AA75+X75+U75+R75+O75+L75+I75+F75</f>
        <v>0</v>
      </c>
      <c r="AK75" s="12">
        <f t="shared" ref="AK75:AK88" si="28">AJ75-C75</f>
        <v>0</v>
      </c>
    </row>
    <row r="76" spans="1:37" s="6" customFormat="1">
      <c r="A76" s="29" t="s">
        <v>91</v>
      </c>
      <c r="B76" s="39"/>
      <c r="C76" s="43">
        <f t="shared" si="24"/>
        <v>495.20000000000005</v>
      </c>
      <c r="D76" s="43"/>
      <c r="E76" s="27">
        <f>E79</f>
        <v>31.7</v>
      </c>
      <c r="F76" s="179">
        <f>F79+F82</f>
        <v>25.5</v>
      </c>
      <c r="G76" s="179">
        <f>G79</f>
        <v>0</v>
      </c>
      <c r="H76" s="113"/>
      <c r="I76" s="113"/>
      <c r="J76" s="113"/>
      <c r="K76" s="123">
        <f>K79+K82</f>
        <v>36.9</v>
      </c>
      <c r="L76" s="123">
        <f>L79+L82</f>
        <v>36</v>
      </c>
      <c r="M76" s="123">
        <f>M79+M82</f>
        <v>0</v>
      </c>
      <c r="N76" s="9"/>
      <c r="O76" s="9"/>
      <c r="P76" s="9"/>
      <c r="Q76" s="145">
        <v>0</v>
      </c>
      <c r="R76" s="173">
        <v>0</v>
      </c>
      <c r="S76" s="173">
        <v>0</v>
      </c>
      <c r="T76" s="64"/>
      <c r="U76" s="64"/>
      <c r="V76" s="64"/>
      <c r="W76" s="133"/>
      <c r="X76" s="133"/>
      <c r="Y76" s="133"/>
      <c r="Z76" s="145"/>
      <c r="AA76" s="180"/>
      <c r="AB76" s="180"/>
      <c r="AC76" s="143">
        <v>403.3</v>
      </c>
      <c r="AD76" s="165">
        <v>433.70000000000005</v>
      </c>
      <c r="AE76" s="165">
        <v>42.6</v>
      </c>
      <c r="AF76" s="18">
        <v>0</v>
      </c>
      <c r="AG76" s="19">
        <v>0</v>
      </c>
      <c r="AH76" s="19">
        <v>0</v>
      </c>
      <c r="AJ76" s="12">
        <f t="shared" si="27"/>
        <v>495.20000000000005</v>
      </c>
      <c r="AK76" s="12">
        <f t="shared" si="28"/>
        <v>0</v>
      </c>
    </row>
    <row r="77" spans="1:37">
      <c r="A77" s="9" t="s">
        <v>92</v>
      </c>
      <c r="B77" s="39">
        <v>1125.2</v>
      </c>
      <c r="C77" s="43">
        <f t="shared" ref="C77:C84" si="29">F77+I77+L77+O77+R77+U77+X77+AA77+AD77</f>
        <v>80.5</v>
      </c>
      <c r="D77" s="43">
        <f t="shared" ref="D77:D84" si="30">G77+J77+M77+P77+S77+V77+Y77+AB77+AE77</f>
        <v>40.5</v>
      </c>
      <c r="E77" s="145"/>
      <c r="F77" s="180"/>
      <c r="G77" s="180"/>
      <c r="H77" s="113">
        <v>584.9</v>
      </c>
      <c r="I77" s="113">
        <v>40</v>
      </c>
      <c r="J77" s="113">
        <v>0</v>
      </c>
      <c r="K77" s="122"/>
      <c r="L77" s="122"/>
      <c r="M77" s="122"/>
      <c r="N77" s="107"/>
      <c r="O77" s="107"/>
      <c r="P77" s="107"/>
      <c r="Q77" s="145">
        <v>143.80000000000001</v>
      </c>
      <c r="R77" s="173">
        <v>40.5</v>
      </c>
      <c r="S77" s="173">
        <v>40.5</v>
      </c>
      <c r="T77" s="64">
        <v>396.5</v>
      </c>
      <c r="U77" s="64">
        <v>0</v>
      </c>
      <c r="V77" s="64">
        <v>0</v>
      </c>
      <c r="W77" s="133"/>
      <c r="X77" s="133"/>
      <c r="Y77" s="133"/>
      <c r="Z77" s="145"/>
      <c r="AA77" s="180"/>
      <c r="AB77" s="180"/>
      <c r="AC77" s="140"/>
      <c r="AD77" s="161"/>
      <c r="AE77" s="161"/>
      <c r="AF77" s="16">
        <v>0</v>
      </c>
      <c r="AG77" s="13">
        <v>0</v>
      </c>
      <c r="AH77" s="13">
        <v>0</v>
      </c>
      <c r="AJ77" s="12">
        <f t="shared" si="27"/>
        <v>80.5</v>
      </c>
      <c r="AK77" s="12">
        <f t="shared" si="28"/>
        <v>0</v>
      </c>
    </row>
    <row r="78" spans="1:37">
      <c r="A78" s="9" t="s">
        <v>0</v>
      </c>
      <c r="B78" s="39">
        <v>1590</v>
      </c>
      <c r="C78" s="43">
        <f t="shared" si="29"/>
        <v>199.89999999999998</v>
      </c>
      <c r="D78" s="43">
        <f t="shared" si="30"/>
        <v>56.5</v>
      </c>
      <c r="E78" s="145"/>
      <c r="F78" s="180"/>
      <c r="G78" s="180"/>
      <c r="H78" s="113">
        <v>114</v>
      </c>
      <c r="I78" s="113">
        <v>105.9</v>
      </c>
      <c r="J78" s="113">
        <v>13.7</v>
      </c>
      <c r="K78" s="122"/>
      <c r="L78" s="122"/>
      <c r="M78" s="122"/>
      <c r="N78" s="107">
        <v>17.100000000000001</v>
      </c>
      <c r="O78" s="107">
        <v>13.1</v>
      </c>
      <c r="P78" s="107">
        <v>1.3</v>
      </c>
      <c r="Q78" s="145">
        <v>140</v>
      </c>
      <c r="R78" s="173">
        <v>53.2</v>
      </c>
      <c r="S78" s="173">
        <v>41.5</v>
      </c>
      <c r="T78" s="64">
        <v>1304.3</v>
      </c>
      <c r="U78" s="64">
        <v>6.6</v>
      </c>
      <c r="V78" s="64">
        <v>0</v>
      </c>
      <c r="W78" s="133"/>
      <c r="X78" s="133"/>
      <c r="Y78" s="133"/>
      <c r="Z78" s="145"/>
      <c r="AA78" s="180"/>
      <c r="AB78" s="180"/>
      <c r="AC78" s="140">
        <v>14.6</v>
      </c>
      <c r="AD78" s="161">
        <v>21.1</v>
      </c>
      <c r="AE78" s="161">
        <v>0</v>
      </c>
      <c r="AF78" s="18">
        <v>0</v>
      </c>
      <c r="AG78" s="19">
        <v>0</v>
      </c>
      <c r="AH78" s="19">
        <v>0</v>
      </c>
      <c r="AJ78" s="12">
        <f t="shared" si="27"/>
        <v>199.9</v>
      </c>
      <c r="AK78" s="12">
        <f t="shared" si="28"/>
        <v>0</v>
      </c>
    </row>
    <row r="79" spans="1:37">
      <c r="A79" s="154" t="s">
        <v>1</v>
      </c>
      <c r="B79" s="39">
        <v>1137.2</v>
      </c>
      <c r="C79" s="43">
        <f t="shared" si="29"/>
        <v>1135.9000000000001</v>
      </c>
      <c r="D79" s="43">
        <f t="shared" si="30"/>
        <v>60.1</v>
      </c>
      <c r="E79" s="145">
        <v>31.7</v>
      </c>
      <c r="F79" s="180">
        <v>25.5</v>
      </c>
      <c r="G79" s="180">
        <v>0</v>
      </c>
      <c r="H79" s="113">
        <v>499.4</v>
      </c>
      <c r="I79" s="113">
        <v>571.70000000000005</v>
      </c>
      <c r="J79" s="113">
        <v>9.1999999999999993</v>
      </c>
      <c r="K79" s="122">
        <v>35.1</v>
      </c>
      <c r="L79" s="122">
        <v>36</v>
      </c>
      <c r="M79" s="122">
        <v>0</v>
      </c>
      <c r="N79" s="107">
        <v>89.7</v>
      </c>
      <c r="O79" s="107">
        <v>115.8</v>
      </c>
      <c r="P79" s="107"/>
      <c r="Q79" s="145">
        <v>136.69999999999999</v>
      </c>
      <c r="R79" s="173">
        <v>83.1</v>
      </c>
      <c r="S79" s="173">
        <v>9.6999999999999993</v>
      </c>
      <c r="T79" s="64">
        <v>71</v>
      </c>
      <c r="U79" s="64">
        <v>36</v>
      </c>
      <c r="V79" s="64">
        <v>0</v>
      </c>
      <c r="W79" s="133"/>
      <c r="X79" s="133"/>
      <c r="Y79" s="133"/>
      <c r="Z79" s="145"/>
      <c r="AA79" s="180"/>
      <c r="AB79" s="180"/>
      <c r="AC79" s="140">
        <v>273.60000000000002</v>
      </c>
      <c r="AD79" s="161">
        <v>267.8</v>
      </c>
      <c r="AE79" s="161">
        <v>41.2</v>
      </c>
      <c r="AF79" s="18">
        <v>0</v>
      </c>
      <c r="AG79" s="19">
        <v>0</v>
      </c>
      <c r="AH79" s="19">
        <v>0</v>
      </c>
      <c r="AJ79" s="12">
        <f t="shared" si="27"/>
        <v>1135.9000000000001</v>
      </c>
      <c r="AK79" s="12">
        <f t="shared" si="28"/>
        <v>0</v>
      </c>
    </row>
    <row r="80" spans="1:37">
      <c r="A80" s="9" t="s">
        <v>93</v>
      </c>
      <c r="B80" s="39">
        <v>3.4</v>
      </c>
      <c r="C80" s="43">
        <f t="shared" si="29"/>
        <v>8.6</v>
      </c>
      <c r="D80" s="43">
        <f t="shared" si="30"/>
        <v>5.5</v>
      </c>
      <c r="E80" s="145"/>
      <c r="F80" s="180"/>
      <c r="G80" s="180"/>
      <c r="H80" s="113"/>
      <c r="I80" s="113"/>
      <c r="J80" s="113"/>
      <c r="K80" s="122"/>
      <c r="L80" s="122"/>
      <c r="M80" s="122"/>
      <c r="N80" s="107"/>
      <c r="O80" s="107"/>
      <c r="P80" s="107"/>
      <c r="Q80" s="145">
        <v>0</v>
      </c>
      <c r="R80" s="173">
        <v>5</v>
      </c>
      <c r="S80" s="173">
        <v>5</v>
      </c>
      <c r="T80" s="64">
        <v>0</v>
      </c>
      <c r="U80" s="64">
        <v>0</v>
      </c>
      <c r="V80" s="64">
        <v>0</v>
      </c>
      <c r="W80" s="133"/>
      <c r="X80" s="133"/>
      <c r="Y80" s="133"/>
      <c r="Z80" s="145"/>
      <c r="AA80" s="180"/>
      <c r="AB80" s="180"/>
      <c r="AC80" s="140">
        <v>3.4</v>
      </c>
      <c r="AD80" s="168">
        <v>3.6</v>
      </c>
      <c r="AE80" s="161">
        <v>0.5</v>
      </c>
      <c r="AF80" s="16">
        <v>0</v>
      </c>
      <c r="AG80" s="13">
        <v>0</v>
      </c>
      <c r="AH80" s="13">
        <v>0</v>
      </c>
      <c r="AJ80" s="12">
        <f t="shared" si="27"/>
        <v>8.6</v>
      </c>
      <c r="AK80" s="12">
        <f t="shared" si="28"/>
        <v>0</v>
      </c>
    </row>
    <row r="81" spans="1:37">
      <c r="A81" s="9" t="s">
        <v>26</v>
      </c>
      <c r="B81" s="39">
        <v>3.3</v>
      </c>
      <c r="C81" s="43">
        <f t="shared" si="29"/>
        <v>0</v>
      </c>
      <c r="D81" s="43">
        <f t="shared" si="30"/>
        <v>0</v>
      </c>
      <c r="E81" s="145"/>
      <c r="F81" s="180"/>
      <c r="G81" s="180"/>
      <c r="H81" s="113"/>
      <c r="I81" s="113"/>
      <c r="J81" s="113"/>
      <c r="K81" s="122"/>
      <c r="L81" s="122"/>
      <c r="M81" s="122"/>
      <c r="N81" s="107"/>
      <c r="O81" s="107"/>
      <c r="P81" s="107"/>
      <c r="Q81" s="145">
        <v>0</v>
      </c>
      <c r="R81" s="173">
        <v>0</v>
      </c>
      <c r="S81" s="173">
        <v>0</v>
      </c>
      <c r="T81" s="64">
        <v>3.3</v>
      </c>
      <c r="U81" s="64">
        <v>0</v>
      </c>
      <c r="V81" s="64">
        <v>0</v>
      </c>
      <c r="W81" s="133"/>
      <c r="X81" s="133"/>
      <c r="Y81" s="133"/>
      <c r="Z81" s="145"/>
      <c r="AA81" s="180"/>
      <c r="AB81" s="180"/>
      <c r="AC81" s="140"/>
      <c r="AD81" s="161"/>
      <c r="AE81" s="161"/>
      <c r="AF81" s="16">
        <v>0</v>
      </c>
      <c r="AG81" s="13">
        <v>0</v>
      </c>
      <c r="AH81" s="13">
        <v>0</v>
      </c>
      <c r="AJ81" s="12">
        <f t="shared" si="27"/>
        <v>0</v>
      </c>
      <c r="AK81" s="12">
        <f t="shared" si="28"/>
        <v>0</v>
      </c>
    </row>
    <row r="82" spans="1:37">
      <c r="A82" s="9" t="s">
        <v>2</v>
      </c>
      <c r="B82" s="39">
        <v>2186.4</v>
      </c>
      <c r="C82" s="43">
        <f t="shared" si="29"/>
        <v>783.39999999999986</v>
      </c>
      <c r="D82" s="43">
        <f t="shared" si="30"/>
        <v>68.7</v>
      </c>
      <c r="E82" s="145"/>
      <c r="F82" s="180">
        <v>0</v>
      </c>
      <c r="G82" s="180"/>
      <c r="H82" s="113">
        <v>429.3</v>
      </c>
      <c r="I82" s="113">
        <v>508.5</v>
      </c>
      <c r="J82" s="113">
        <v>54.5</v>
      </c>
      <c r="K82" s="122">
        <v>1.8</v>
      </c>
      <c r="L82" s="122">
        <v>0</v>
      </c>
      <c r="M82" s="122">
        <v>0</v>
      </c>
      <c r="N82" s="107">
        <v>100.9</v>
      </c>
      <c r="O82" s="107">
        <v>77.3</v>
      </c>
      <c r="P82" s="107"/>
      <c r="Q82" s="145">
        <v>91.7</v>
      </c>
      <c r="R82" s="173">
        <v>38.4</v>
      </c>
      <c r="S82" s="173">
        <v>12.9</v>
      </c>
      <c r="T82" s="64">
        <v>1457.4</v>
      </c>
      <c r="U82" s="151">
        <v>25.5</v>
      </c>
      <c r="V82" s="64">
        <v>1.3</v>
      </c>
      <c r="W82" s="133"/>
      <c r="X82" s="133"/>
      <c r="Y82" s="133"/>
      <c r="Z82" s="145"/>
      <c r="AA82" s="180"/>
      <c r="AB82" s="180"/>
      <c r="AC82" s="140">
        <v>105.3</v>
      </c>
      <c r="AD82" s="161">
        <v>133.69999999999999</v>
      </c>
      <c r="AE82" s="161">
        <v>0</v>
      </c>
      <c r="AF82" s="16">
        <f>SUM(AF83:AF88)</f>
        <v>0</v>
      </c>
      <c r="AG82" s="13">
        <f>SUM(AG83:AG88)</f>
        <v>0</v>
      </c>
      <c r="AH82" s="13">
        <f>SUM(AH83:AH88)</f>
        <v>0</v>
      </c>
      <c r="AJ82" s="12">
        <f t="shared" si="27"/>
        <v>783.4</v>
      </c>
      <c r="AK82" s="12">
        <f t="shared" si="28"/>
        <v>0</v>
      </c>
    </row>
    <row r="83" spans="1:37" ht="31.5">
      <c r="A83" s="9" t="s">
        <v>94</v>
      </c>
      <c r="B83" s="39">
        <v>120.2</v>
      </c>
      <c r="C83" s="43">
        <f t="shared" si="29"/>
        <v>277.3</v>
      </c>
      <c r="D83" s="43">
        <f t="shared" si="30"/>
        <v>8.1</v>
      </c>
      <c r="E83" s="145"/>
      <c r="F83" s="180"/>
      <c r="G83" s="180"/>
      <c r="H83" s="113">
        <v>28.3</v>
      </c>
      <c r="I83" s="113">
        <v>165.3</v>
      </c>
      <c r="J83" s="113">
        <v>8.1</v>
      </c>
      <c r="K83" s="122"/>
      <c r="L83" s="122"/>
      <c r="M83" s="122"/>
      <c r="N83" s="107"/>
      <c r="O83" s="107"/>
      <c r="P83" s="107"/>
      <c r="Q83" s="145">
        <v>0</v>
      </c>
      <c r="R83" s="173">
        <v>0</v>
      </c>
      <c r="S83" s="173">
        <v>0</v>
      </c>
      <c r="T83" s="64">
        <v>91.9</v>
      </c>
      <c r="U83" s="64">
        <v>112</v>
      </c>
      <c r="V83" s="64">
        <v>0</v>
      </c>
      <c r="W83" s="133"/>
      <c r="X83" s="133"/>
      <c r="Y83" s="133"/>
      <c r="Z83" s="145"/>
      <c r="AA83" s="180"/>
      <c r="AB83" s="180"/>
      <c r="AC83" s="140"/>
      <c r="AD83" s="161"/>
      <c r="AE83" s="161"/>
      <c r="AF83" s="18">
        <v>0</v>
      </c>
      <c r="AG83" s="19">
        <v>0</v>
      </c>
      <c r="AH83" s="19">
        <v>0</v>
      </c>
      <c r="AJ83" s="12">
        <f t="shared" si="27"/>
        <v>277.3</v>
      </c>
      <c r="AK83" s="12">
        <f t="shared" si="28"/>
        <v>0</v>
      </c>
    </row>
    <row r="84" spans="1:37" ht="31.5">
      <c r="A84" s="9" t="s">
        <v>95</v>
      </c>
      <c r="B84" s="39">
        <v>768.7</v>
      </c>
      <c r="C84" s="43">
        <f t="shared" si="29"/>
        <v>292.60000000000002</v>
      </c>
      <c r="D84" s="43">
        <f t="shared" si="30"/>
        <v>98.9</v>
      </c>
      <c r="E84" s="145"/>
      <c r="F84" s="181"/>
      <c r="G84" s="180"/>
      <c r="H84" s="113"/>
      <c r="I84" s="115"/>
      <c r="J84" s="113"/>
      <c r="K84" s="122"/>
      <c r="L84" s="125"/>
      <c r="M84" s="122"/>
      <c r="N84" s="107"/>
      <c r="O84" s="108"/>
      <c r="P84" s="107"/>
      <c r="Q84" s="145">
        <v>688</v>
      </c>
      <c r="R84" s="174">
        <v>35</v>
      </c>
      <c r="S84" s="173">
        <v>6.7</v>
      </c>
      <c r="T84" s="65">
        <v>74.3</v>
      </c>
      <c r="U84" s="65">
        <v>250.1</v>
      </c>
      <c r="V84" s="65">
        <v>91.3</v>
      </c>
      <c r="W84" s="135"/>
      <c r="X84" s="135"/>
      <c r="Y84" s="135"/>
      <c r="Z84" s="145"/>
      <c r="AA84" s="181"/>
      <c r="AB84" s="180"/>
      <c r="AC84" s="140">
        <v>6.4</v>
      </c>
      <c r="AD84" s="169">
        <v>7.5</v>
      </c>
      <c r="AE84" s="161">
        <v>0.9</v>
      </c>
      <c r="AF84" s="18">
        <v>0</v>
      </c>
      <c r="AG84" s="19">
        <v>0</v>
      </c>
      <c r="AH84" s="19">
        <v>0</v>
      </c>
      <c r="AJ84" s="12">
        <f t="shared" si="27"/>
        <v>292.60000000000002</v>
      </c>
      <c r="AK84" s="12">
        <f t="shared" si="28"/>
        <v>0</v>
      </c>
    </row>
    <row r="85" spans="1:37">
      <c r="A85" s="8" t="s">
        <v>96</v>
      </c>
      <c r="B85" s="39"/>
      <c r="C85" s="43">
        <f t="shared" ref="C85" si="31">F85+I85+L85+O85+R85+U85+X85+AA85+AD85</f>
        <v>0</v>
      </c>
      <c r="D85" s="43"/>
      <c r="E85" s="145"/>
      <c r="F85" s="181"/>
      <c r="G85" s="180"/>
      <c r="H85" s="113"/>
      <c r="I85" s="115"/>
      <c r="J85" s="113"/>
      <c r="K85" s="122"/>
      <c r="L85" s="125"/>
      <c r="M85" s="122"/>
      <c r="N85" s="107"/>
      <c r="O85" s="108"/>
      <c r="P85" s="107"/>
      <c r="Q85" s="145">
        <v>0</v>
      </c>
      <c r="R85" s="173">
        <v>0</v>
      </c>
      <c r="S85" s="173">
        <v>0</v>
      </c>
      <c r="T85" s="64"/>
      <c r="U85" s="64"/>
      <c r="V85" s="64"/>
      <c r="W85" s="135"/>
      <c r="X85" s="135"/>
      <c r="Y85" s="135"/>
      <c r="Z85" s="145"/>
      <c r="AA85" s="181"/>
      <c r="AB85" s="180"/>
      <c r="AC85" s="139"/>
      <c r="AD85" s="163"/>
      <c r="AE85" s="160"/>
      <c r="AF85" s="18">
        <v>0</v>
      </c>
      <c r="AG85" s="19">
        <v>0</v>
      </c>
      <c r="AH85" s="19">
        <v>0</v>
      </c>
      <c r="AJ85" s="12">
        <f t="shared" si="27"/>
        <v>0</v>
      </c>
      <c r="AK85" s="12">
        <f t="shared" si="28"/>
        <v>0</v>
      </c>
    </row>
    <row r="86" spans="1:37" ht="31.5" customHeight="1">
      <c r="A86" s="10" t="s">
        <v>97</v>
      </c>
      <c r="B86" s="39">
        <f t="shared" ref="B86" si="32">E86+H86+K86+N86+Q86+T86+W86+Z86+AC86</f>
        <v>0</v>
      </c>
      <c r="C86" s="43">
        <f t="shared" ref="C86:C88" si="33">F86+I86+L86+O86+R86+U86+X86+AA86+AD86</f>
        <v>0</v>
      </c>
      <c r="D86" s="43">
        <f t="shared" ref="D86:D88" si="34">G86+J86+M86+P86+S86+V86+Y86+AB86+AE86</f>
        <v>0</v>
      </c>
      <c r="E86" s="145"/>
      <c r="F86" s="180"/>
      <c r="G86" s="180"/>
      <c r="H86" s="113"/>
      <c r="I86" s="113"/>
      <c r="J86" s="113"/>
      <c r="K86" s="122"/>
      <c r="L86" s="122"/>
      <c r="M86" s="122"/>
      <c r="N86" s="145"/>
      <c r="O86" s="180"/>
      <c r="P86" s="180"/>
      <c r="Q86" s="145">
        <v>0</v>
      </c>
      <c r="R86" s="173">
        <v>0</v>
      </c>
      <c r="S86" s="173">
        <v>0</v>
      </c>
      <c r="T86" s="64"/>
      <c r="U86" s="64"/>
      <c r="V86" s="64"/>
      <c r="W86" s="133"/>
      <c r="X86" s="133"/>
      <c r="Y86" s="133"/>
      <c r="Z86" s="145"/>
      <c r="AA86" s="180"/>
      <c r="AB86" s="180"/>
      <c r="AC86" s="139"/>
      <c r="AD86" s="160"/>
      <c r="AE86" s="160"/>
      <c r="AF86" s="18">
        <v>0</v>
      </c>
      <c r="AG86" s="19">
        <v>0</v>
      </c>
      <c r="AH86" s="19">
        <v>0</v>
      </c>
      <c r="AJ86" s="12">
        <f t="shared" si="27"/>
        <v>0</v>
      </c>
      <c r="AK86" s="12">
        <f t="shared" si="28"/>
        <v>0</v>
      </c>
    </row>
    <row r="87" spans="1:37" ht="31.5">
      <c r="A87" s="10" t="s">
        <v>98</v>
      </c>
      <c r="B87" s="39">
        <v>6587.7</v>
      </c>
      <c r="C87" s="43">
        <f t="shared" si="33"/>
        <v>60.5</v>
      </c>
      <c r="D87" s="43">
        <f t="shared" si="34"/>
        <v>0</v>
      </c>
      <c r="E87" s="145"/>
      <c r="F87" s="180"/>
      <c r="G87" s="180"/>
      <c r="H87" s="113">
        <f>52.3+6535.4</f>
        <v>6587.7</v>
      </c>
      <c r="I87" s="113">
        <v>60.5</v>
      </c>
      <c r="J87" s="113">
        <v>0</v>
      </c>
      <c r="K87" s="122"/>
      <c r="L87" s="122"/>
      <c r="M87" s="122"/>
      <c r="N87" s="145"/>
      <c r="O87" s="180"/>
      <c r="P87" s="180"/>
      <c r="Q87" s="145">
        <v>0</v>
      </c>
      <c r="R87" s="173">
        <v>0</v>
      </c>
      <c r="S87" s="173">
        <v>0</v>
      </c>
      <c r="T87" s="64"/>
      <c r="U87" s="64"/>
      <c r="V87" s="64"/>
      <c r="W87" s="133"/>
      <c r="X87" s="133"/>
      <c r="Y87" s="133"/>
      <c r="Z87" s="145"/>
      <c r="AA87" s="180"/>
      <c r="AB87" s="180"/>
      <c r="AC87" s="139"/>
      <c r="AD87" s="160"/>
      <c r="AE87" s="160"/>
      <c r="AF87" s="18">
        <v>0</v>
      </c>
      <c r="AG87" s="19">
        <v>0</v>
      </c>
      <c r="AH87" s="19">
        <v>0</v>
      </c>
      <c r="AJ87" s="12">
        <f t="shared" si="27"/>
        <v>60.5</v>
      </c>
      <c r="AK87" s="12">
        <f t="shared" si="28"/>
        <v>0</v>
      </c>
    </row>
    <row r="88" spans="1:37">
      <c r="A88" s="10" t="s">
        <v>99</v>
      </c>
      <c r="B88" s="39">
        <v>1644.4</v>
      </c>
      <c r="C88" s="43">
        <f t="shared" si="33"/>
        <v>0</v>
      </c>
      <c r="D88" s="43">
        <f t="shared" si="34"/>
        <v>0</v>
      </c>
      <c r="E88" s="145"/>
      <c r="F88" s="180"/>
      <c r="G88" s="180"/>
      <c r="H88" s="113"/>
      <c r="I88" s="113"/>
      <c r="J88" s="113"/>
      <c r="K88" s="122"/>
      <c r="L88" s="122"/>
      <c r="M88" s="122"/>
      <c r="N88" s="145"/>
      <c r="O88" s="180"/>
      <c r="P88" s="180"/>
      <c r="Q88" s="145">
        <v>1644.4</v>
      </c>
      <c r="R88" s="173">
        <v>0</v>
      </c>
      <c r="S88" s="173">
        <v>0</v>
      </c>
      <c r="T88" s="64"/>
      <c r="U88" s="64"/>
      <c r="V88" s="64"/>
      <c r="W88" s="133"/>
      <c r="X88" s="133"/>
      <c r="Y88" s="133"/>
      <c r="Z88" s="145"/>
      <c r="AA88" s="180"/>
      <c r="AB88" s="180"/>
      <c r="AC88" s="139"/>
      <c r="AD88" s="160"/>
      <c r="AE88" s="160"/>
      <c r="AF88" s="18">
        <v>0</v>
      </c>
      <c r="AG88" s="19">
        <v>0</v>
      </c>
      <c r="AH88" s="19">
        <v>0</v>
      </c>
      <c r="AJ88" s="12">
        <f t="shared" si="27"/>
        <v>0</v>
      </c>
      <c r="AK88" s="12">
        <f t="shared" si="28"/>
        <v>0</v>
      </c>
    </row>
    <row r="89" spans="1:37">
      <c r="E89" s="12"/>
      <c r="O89" s="100"/>
      <c r="P89" s="100"/>
    </row>
    <row r="90" spans="1:37">
      <c r="O90" s="100"/>
      <c r="P90" s="100"/>
    </row>
    <row r="91" spans="1:37">
      <c r="A91" s="1" t="s">
        <v>47</v>
      </c>
      <c r="O91" s="100"/>
      <c r="P91" s="100"/>
    </row>
    <row r="92" spans="1:37">
      <c r="O92" s="101"/>
      <c r="P92" s="101"/>
    </row>
    <row r="93" spans="1:37">
      <c r="O93" s="102"/>
      <c r="P93" s="102"/>
    </row>
    <row r="94" spans="1:37">
      <c r="A94" s="1" t="s">
        <v>46</v>
      </c>
      <c r="O94" s="102"/>
      <c r="P94" s="102"/>
    </row>
    <row r="95" spans="1:37">
      <c r="O95" s="100"/>
      <c r="P95" s="100"/>
    </row>
    <row r="96" spans="1:37">
      <c r="O96" s="100"/>
      <c r="P96" s="100"/>
    </row>
    <row r="97" spans="1:16">
      <c r="A97" s="1" t="s">
        <v>48</v>
      </c>
      <c r="O97" s="100"/>
      <c r="P97" s="100"/>
    </row>
    <row r="98" spans="1:16">
      <c r="O98" s="100"/>
      <c r="P98" s="100"/>
    </row>
    <row r="99" spans="1:16">
      <c r="O99" s="100"/>
      <c r="P99" s="100"/>
    </row>
    <row r="100" spans="1:16">
      <c r="O100" s="100"/>
      <c r="P100" s="100"/>
    </row>
    <row r="101" spans="1:16" ht="19.5">
      <c r="A101" s="204"/>
      <c r="B101" s="204"/>
      <c r="C101" s="204"/>
      <c r="D101" s="204"/>
      <c r="O101" s="100"/>
      <c r="P101" s="100"/>
    </row>
    <row r="102" spans="1:16">
      <c r="A102" s="205"/>
      <c r="B102" s="205"/>
      <c r="C102" s="205"/>
      <c r="D102" s="205"/>
      <c r="O102" s="100"/>
      <c r="P102" s="100"/>
    </row>
    <row r="103" spans="1:16">
      <c r="A103" s="189"/>
      <c r="B103" s="189"/>
      <c r="C103" s="189"/>
      <c r="D103" s="189"/>
      <c r="O103" s="100"/>
      <c r="P103" s="100"/>
    </row>
    <row r="104" spans="1:16">
      <c r="O104" s="100"/>
      <c r="P104" s="100"/>
    </row>
    <row r="105" spans="1:16">
      <c r="A105" s="189"/>
      <c r="B105" s="189"/>
      <c r="C105" s="189"/>
      <c r="D105" s="189"/>
      <c r="O105" s="100"/>
      <c r="P105" s="100"/>
    </row>
    <row r="106" spans="1:16">
      <c r="O106" s="100"/>
      <c r="P106" s="100"/>
    </row>
    <row r="107" spans="1:16">
      <c r="O107" s="100"/>
      <c r="P107" s="100"/>
    </row>
    <row r="108" spans="1:16">
      <c r="O108" s="100"/>
      <c r="P108" s="100"/>
    </row>
    <row r="109" spans="1:16">
      <c r="O109" s="100"/>
      <c r="P109" s="100"/>
    </row>
    <row r="110" spans="1:16">
      <c r="O110" s="100"/>
      <c r="P110" s="100"/>
    </row>
    <row r="111" spans="1:16">
      <c r="O111" s="100"/>
      <c r="P111" s="100"/>
    </row>
    <row r="112" spans="1:16">
      <c r="O112" s="100"/>
      <c r="P112" s="100"/>
    </row>
    <row r="113" spans="15:16">
      <c r="O113" s="100"/>
      <c r="P113" s="100"/>
    </row>
    <row r="114" spans="15:16">
      <c r="O114" s="100"/>
      <c r="P114" s="100"/>
    </row>
    <row r="115" spans="15:16">
      <c r="O115" s="100"/>
      <c r="P115" s="100"/>
    </row>
    <row r="116" spans="15:16">
      <c r="O116" s="100"/>
      <c r="P116" s="100"/>
    </row>
    <row r="117" spans="15:16">
      <c r="O117" s="100"/>
      <c r="P117" s="100"/>
    </row>
    <row r="118" spans="15:16">
      <c r="O118" s="100"/>
      <c r="P118" s="100"/>
    </row>
    <row r="119" spans="15:16">
      <c r="O119" s="100"/>
      <c r="P119" s="100"/>
    </row>
    <row r="120" spans="15:16">
      <c r="O120" s="100"/>
      <c r="P120" s="100"/>
    </row>
    <row r="121" spans="15:16">
      <c r="O121" s="100"/>
      <c r="P121" s="100"/>
    </row>
    <row r="122" spans="15:16">
      <c r="O122" s="100"/>
      <c r="P122" s="100"/>
    </row>
    <row r="123" spans="15:16">
      <c r="O123" s="100"/>
      <c r="P123" s="100"/>
    </row>
    <row r="124" spans="15:16">
      <c r="O124" s="100"/>
      <c r="P124" s="100"/>
    </row>
    <row r="125" spans="15:16">
      <c r="O125" s="100"/>
      <c r="P125" s="100"/>
    </row>
    <row r="126" spans="15:16">
      <c r="O126" s="100"/>
      <c r="P126" s="100"/>
    </row>
    <row r="127" spans="15:16">
      <c r="O127" s="103"/>
      <c r="P127" s="103"/>
    </row>
    <row r="128" spans="15:16">
      <c r="O128" s="100"/>
      <c r="P128" s="100"/>
    </row>
    <row r="129" spans="15:16">
      <c r="O129" s="100"/>
      <c r="P129" s="100"/>
    </row>
    <row r="130" spans="15:16">
      <c r="O130" s="100"/>
      <c r="P130" s="100"/>
    </row>
    <row r="131" spans="15:16">
      <c r="O131" s="100"/>
      <c r="P131" s="100"/>
    </row>
    <row r="132" spans="15:16">
      <c r="O132" s="100"/>
      <c r="P132" s="100"/>
    </row>
    <row r="133" spans="15:16">
      <c r="O133" s="100"/>
      <c r="P133" s="100"/>
    </row>
    <row r="134" spans="15:16">
      <c r="O134" s="100"/>
      <c r="P134" s="100"/>
    </row>
    <row r="135" spans="15:16">
      <c r="O135" s="100"/>
      <c r="P135" s="100"/>
    </row>
    <row r="136" spans="15:16">
      <c r="O136" s="100"/>
      <c r="P136" s="100"/>
    </row>
    <row r="137" spans="15:16">
      <c r="O137" s="100"/>
      <c r="P137" s="100"/>
    </row>
    <row r="138" spans="15:16">
      <c r="O138" s="100"/>
      <c r="P138" s="100"/>
    </row>
    <row r="139" spans="15:16">
      <c r="O139" s="104"/>
      <c r="P139" s="104"/>
    </row>
    <row r="140" spans="15:16">
      <c r="O140" s="105"/>
      <c r="P140" s="105"/>
    </row>
    <row r="141" spans="15:16">
      <c r="O141" s="105"/>
      <c r="P141" s="105"/>
    </row>
    <row r="142" spans="15:16">
      <c r="O142" s="105"/>
      <c r="P142" s="105"/>
    </row>
    <row r="143" spans="15:16">
      <c r="O143" s="105"/>
      <c r="P143" s="105"/>
    </row>
    <row r="144" spans="15:16">
      <c r="O144" s="105"/>
      <c r="P144" s="105"/>
    </row>
    <row r="145" spans="15:16">
      <c r="O145" s="105"/>
      <c r="P145" s="105"/>
    </row>
    <row r="146" spans="15:16">
      <c r="O146" s="105"/>
      <c r="P146" s="105"/>
    </row>
    <row r="147" spans="15:16">
      <c r="O147" s="106"/>
      <c r="P147" s="105"/>
    </row>
    <row r="148" spans="15:16">
      <c r="O148" s="106"/>
      <c r="P148" s="105"/>
    </row>
    <row r="149" spans="15:16">
      <c r="O149" s="100"/>
      <c r="P149" s="100"/>
    </row>
    <row r="150" spans="15:16">
      <c r="O150" s="100"/>
      <c r="P150" s="100"/>
    </row>
    <row r="151" spans="15:16">
      <c r="O151" s="100"/>
      <c r="P151" s="100"/>
    </row>
  </sheetData>
  <mergeCells count="53">
    <mergeCell ref="AF6:AH6"/>
    <mergeCell ref="AF7:AF8"/>
    <mergeCell ref="AG7:AG8"/>
    <mergeCell ref="AH7:AH8"/>
    <mergeCell ref="Z6:AB6"/>
    <mergeCell ref="Z7:Z8"/>
    <mergeCell ref="AA7:AA8"/>
    <mergeCell ref="AB7:AB8"/>
    <mergeCell ref="AC6:AE6"/>
    <mergeCell ref="AC7:AC8"/>
    <mergeCell ref="AD7:AD8"/>
    <mergeCell ref="AE7:AE8"/>
    <mergeCell ref="T6:V6"/>
    <mergeCell ref="T7:T8"/>
    <mergeCell ref="U7:U8"/>
    <mergeCell ref="V7:V8"/>
    <mergeCell ref="W6:Y6"/>
    <mergeCell ref="W7:W8"/>
    <mergeCell ref="X7:X8"/>
    <mergeCell ref="Y7:Y8"/>
    <mergeCell ref="N6:P6"/>
    <mergeCell ref="N7:N8"/>
    <mergeCell ref="Q6:S6"/>
    <mergeCell ref="Q7:Q8"/>
    <mergeCell ref="R7:R8"/>
    <mergeCell ref="S7:S8"/>
    <mergeCell ref="O7:O8"/>
    <mergeCell ref="P7:P8"/>
    <mergeCell ref="H6:J6"/>
    <mergeCell ref="H7:H8"/>
    <mergeCell ref="I7:I8"/>
    <mergeCell ref="J7:J8"/>
    <mergeCell ref="K6:M6"/>
    <mergeCell ref="K7:K8"/>
    <mergeCell ref="L7:L8"/>
    <mergeCell ref="M7:M8"/>
    <mergeCell ref="A101:D101"/>
    <mergeCell ref="A102:D102"/>
    <mergeCell ref="A103:D103"/>
    <mergeCell ref="A105:D105"/>
    <mergeCell ref="B6:D6"/>
    <mergeCell ref="E6:G6"/>
    <mergeCell ref="E7:E8"/>
    <mergeCell ref="F7:F8"/>
    <mergeCell ref="G7:G8"/>
    <mergeCell ref="A2:D2"/>
    <mergeCell ref="A3:D3"/>
    <mergeCell ref="A4:D4"/>
    <mergeCell ref="A5:D5"/>
    <mergeCell ref="A7:A8"/>
    <mergeCell ref="B7:B8"/>
    <mergeCell ref="C7:C8"/>
    <mergeCell ref="D7:D8"/>
  </mergeCells>
  <pageMargins left="0.70866141732283472" right="0.70866141732283472" top="0.74803149606299213" bottom="0.74803149606299213" header="0.31496062992125984" footer="0.31496062992125984"/>
  <pageSetup paperSize="9" scale="60" fitToWidth="2" fitToHeight="6" orientation="portrait" r:id="rId1"/>
  <colBreaks count="2" manualBreakCount="2">
    <brk id="4" max="1048575" man="1"/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H199"/>
  <sheetViews>
    <sheetView view="pageBreakPreview" zoomScale="80" zoomScaleNormal="90" zoomScaleSheetLayoutView="80" workbookViewId="0">
      <selection activeCell="D8" sqref="D8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7.710937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8">
      <c r="C1" s="22"/>
      <c r="D1" s="5" t="s">
        <v>53</v>
      </c>
    </row>
    <row r="2" spans="1:8" ht="18.75">
      <c r="A2" s="190" t="s">
        <v>43</v>
      </c>
      <c r="B2" s="190"/>
      <c r="C2" s="191"/>
      <c r="D2" s="191"/>
    </row>
    <row r="3" spans="1:8">
      <c r="A3" s="192" t="s">
        <v>44</v>
      </c>
      <c r="B3" s="192"/>
      <c r="C3" s="192"/>
      <c r="D3" s="192"/>
    </row>
    <row r="4" spans="1:8">
      <c r="A4" s="191" t="s">
        <v>114</v>
      </c>
      <c r="B4" s="191"/>
      <c r="C4" s="191"/>
      <c r="D4" s="191"/>
    </row>
    <row r="5" spans="1:8">
      <c r="A5" s="194" t="s">
        <v>42</v>
      </c>
      <c r="B5" s="194"/>
      <c r="C5" s="194"/>
      <c r="D5" s="194"/>
    </row>
    <row r="6" spans="1:8">
      <c r="A6" s="2"/>
      <c r="B6" s="2"/>
      <c r="D6" s="5" t="s">
        <v>66</v>
      </c>
    </row>
    <row r="7" spans="1:8" ht="90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8" ht="20.25" customHeight="1">
      <c r="A8" s="3">
        <v>1</v>
      </c>
      <c r="B8" s="3">
        <v>2</v>
      </c>
      <c r="C8" s="3">
        <v>3</v>
      </c>
      <c r="D8" s="80">
        <v>4</v>
      </c>
    </row>
    <row r="9" spans="1:8" ht="25.5">
      <c r="A9" s="7" t="s">
        <v>68</v>
      </c>
      <c r="B9" s="76">
        <f>B10+B15+B28+B62+B75+B84</f>
        <v>45400.399999999994</v>
      </c>
      <c r="C9" s="48">
        <f>C10+C15+C28+C62+C75</f>
        <v>51928.400000000009</v>
      </c>
      <c r="D9" s="42">
        <f>D10+D15+D28+D62+D75</f>
        <v>4445.8</v>
      </c>
      <c r="E9" s="61">
        <f>Верхнеталовка!D9+Волошино!D9+Дегтево!D9+Колодези!D9+Криворожье!D9+Мальчевская!D9+Миллерово!D9+'О.-Рог'!D9+Первомайское!D9+Сулин!D9+Титовка!D9+Треневка!D9+Туриловка!D9</f>
        <v>4445.8000000000011</v>
      </c>
      <c r="F9" s="61"/>
      <c r="G9" s="61"/>
      <c r="H9" s="61"/>
    </row>
    <row r="10" spans="1:8">
      <c r="A10" s="36" t="s">
        <v>69</v>
      </c>
      <c r="B10" s="35">
        <f t="shared" ref="B10:D10" si="0">B11+B12+B13+B14</f>
        <v>1561.1</v>
      </c>
      <c r="C10" s="79">
        <f t="shared" si="0"/>
        <v>579.5</v>
      </c>
      <c r="D10" s="79">
        <f t="shared" si="0"/>
        <v>0</v>
      </c>
      <c r="E10" s="61">
        <f>Верхнеталовка!D10+Волошино!D10+Дегтево!D10+Колодези!D10+Криворожье!D10+Мальчевская!D10+Миллерово!D10+'О.-Рог'!D10+Первомайское!D10+Сулин!D10+Титовка!D10+Треневка!D10+Туриловка!D10</f>
        <v>0</v>
      </c>
      <c r="F10" s="61"/>
      <c r="G10" s="61"/>
    </row>
    <row r="11" spans="1:8">
      <c r="A11" s="9" t="s">
        <v>70</v>
      </c>
      <c r="B11" s="43">
        <f>Верхнеталовка!B11+Волошино!B11+Дегтево!B11+Колодези!B11+Криворожье!B11+Мальчевская!B11+Миллерово!B11+'О.-Рог'!B11+Первомайское!B11+Сулин!B11+Титовка!B11+Треневка!B11+Туриловка!B11</f>
        <v>0</v>
      </c>
      <c r="C11" s="43">
        <f>Верхнеталовка!C11+Волошино!C11+Дегтево!C11+Колодези!C11+Криворожье!C11+Мальчевская!C11+Миллерово!C11+'О.-Рог'!C11+Первомайское!C11+Сулин!C11+Титовка!C11+Треневка!C11+Туриловка!C11</f>
        <v>0</v>
      </c>
      <c r="D11" s="43">
        <f>Верхнеталовка!D11+Волошино!D11+Дегтево!D11+Колодези!D11+Криворожье!D11+Мальчевская!D11+Миллерово!D11+'О.-Рог'!D11+Первомайское!D11+Сулин!D11+Титовка!D11+Треневка!D11+Туриловка!D11</f>
        <v>0</v>
      </c>
      <c r="E11" s="61">
        <f>Верхнеталовка!D11+Волошино!D11+Дегтево!D11+Колодези!D11+Криворожье!D11+Мальчевская!D11+Миллерово!D11+'О.-Рог'!D11+Первомайское!D11+Сулин!D11+Титовка!D11+Треневка!D11+Туриловка!D11</f>
        <v>0</v>
      </c>
      <c r="F11" s="61"/>
      <c r="G11" s="61"/>
    </row>
    <row r="12" spans="1:8">
      <c r="A12" s="9" t="s">
        <v>27</v>
      </c>
      <c r="B12" s="43">
        <f>Верхнеталовка!B12+Волошино!B12+Дегтево!B12+Колодези!B12+Криворожье!B12+Мальчевская!B12+Миллерово!B12+'О.-Рог'!B12+Первомайское!B12+Сулин!B12+Титовка!B12+Треневка!B12+Туриловка!B12</f>
        <v>0</v>
      </c>
      <c r="C12" s="43">
        <f>Верхнеталовка!C12+Волошино!C12+Дегтево!C12+Колодези!C12+Криворожье!C12+Мальчевская!C12+Миллерово!C12+'О.-Рог'!C12+Первомайское!C12+Сулин!C12+Титовка!C12+Треневка!C12+Туриловка!C12</f>
        <v>0</v>
      </c>
      <c r="D12" s="43">
        <f>Верхнеталовка!D12+Волошино!D12+Дегтево!D12+Колодези!D12+Криворожье!D12+Мальчевская!D12+Миллерово!D12+'О.-Рог'!D12+Первомайское!D12+Сулин!D12+Титовка!D12+Треневка!D12+Туриловка!D12</f>
        <v>0</v>
      </c>
      <c r="E12" s="61">
        <f>Верхнеталовка!D12+Волошино!D12+Дегтево!D12+Колодези!D12+Криворожье!D12+Мальчевская!D12+Миллерово!D12+'О.-Рог'!D12+Первомайское!D12+Сулин!D12+Титовка!D12+Треневка!D12+Туриловка!D12</f>
        <v>0</v>
      </c>
      <c r="F12" s="61"/>
      <c r="G12" s="61"/>
    </row>
    <row r="13" spans="1:8">
      <c r="A13" s="9" t="s">
        <v>71</v>
      </c>
      <c r="B13" s="43">
        <f>Верхнеталовка!B13+Волошино!B13+Дегтево!B13+Колодези!B13+Криворожье!B13+Мальчевская!B13+Миллерово!B13+'О.-Рог'!B13+Первомайское!B13+Сулин!B13+Титовка!B13+Треневка!B13+Туриловка!B13</f>
        <v>0</v>
      </c>
      <c r="C13" s="43">
        <f>Верхнеталовка!C13+Волошино!C13+Дегтево!C13+Колодези!C13+Криворожье!C13+Мальчевская!C13+Миллерово!C13+'О.-Рог'!C13+Первомайское!C13+Сулин!C13+Титовка!C13+Треневка!C13+Туриловка!C13</f>
        <v>0</v>
      </c>
      <c r="D13" s="43">
        <f>Верхнеталовка!D13+Волошино!D13+Дегтево!D13+Колодези!D13+Криворожье!D13+Мальчевская!D13+Миллерово!D13+'О.-Рог'!D13+Первомайское!D13+Сулин!D13+Титовка!D13+Треневка!D13+Туриловка!D13</f>
        <v>0</v>
      </c>
      <c r="E13" s="61">
        <f>Верхнеталовка!D13+Волошино!D13+Дегтево!D13+Колодези!D13+Криворожье!D13+Мальчевская!D13+Миллерово!D13+'О.-Рог'!D13+Первомайское!D13+Сулин!D13+Титовка!D13+Треневка!D13+Туриловка!D13</f>
        <v>0</v>
      </c>
      <c r="F13" s="61"/>
      <c r="G13" s="61"/>
    </row>
    <row r="14" spans="1:8">
      <c r="A14" s="9" t="s">
        <v>5</v>
      </c>
      <c r="B14" s="43">
        <f>Верхнеталовка!B14+Волошино!B14+Дегтево!B14+Колодези!B14+Криворожье!B14+Мальчевская!B14+Миллерово!B14+'О.-Рог'!B14+Первомайское!B14+Сулин!B14+Титовка!B14+Треневка!B14+Туриловка!B14</f>
        <v>1561.1</v>
      </c>
      <c r="C14" s="43">
        <f>Верхнеталовка!C14+Волошино!C14+Дегтево!C14+Колодези!C14+Криворожье!C14+Мальчевская!C14+Миллерово!C14+'О.-Рог'!C14+Первомайское!C14+Сулин!C14+Титовка!C14+Треневка!C14+Туриловка!C14</f>
        <v>579.5</v>
      </c>
      <c r="D14" s="43">
        <f>Верхнеталовка!D14+Волошино!D14+Дегтево!D14+Колодези!D14+Криворожье!D14+Мальчевская!D14+Миллерово!D14+'О.-Рог'!D14+Первомайское!D14+Сулин!D14+Титовка!D14+Треневка!D14+Туриловка!D14</f>
        <v>0</v>
      </c>
      <c r="E14" s="61">
        <f>Верхнеталовка!D14+Волошино!D14+Дегтево!D14+Колодези!D14+Криворожье!D14+Мальчевская!D14+Миллерово!D14+'О.-Рог'!D14+Первомайское!D14+Сулин!D14+Титовка!D14+Треневка!D14+Туриловка!D14</f>
        <v>0</v>
      </c>
      <c r="F14" s="61"/>
      <c r="G14" s="61"/>
    </row>
    <row r="15" spans="1:8">
      <c r="A15" s="34" t="s">
        <v>72</v>
      </c>
      <c r="B15" s="35">
        <f>B16+B17+B18+B19+B20+B21+B22+B23+B24+B25+B26+B27</f>
        <v>6707.9000000000005</v>
      </c>
      <c r="C15" s="79">
        <f t="shared" ref="C15:D15" si="1">C16+C17+C18+C19+C20+C21+C22+C23+C24+C25+C26+C27</f>
        <v>10221.300000000001</v>
      </c>
      <c r="D15" s="79">
        <f t="shared" si="1"/>
        <v>932.8</v>
      </c>
      <c r="E15" s="61">
        <f>Верхнеталовка!D15+Волошино!D15+Дегтево!D15+Колодези!D15+Криворожье!D15+Мальчевская!D15+Миллерово!D15+'О.-Рог'!D15+Первомайское!D15+Сулин!D15+Титовка!D15+Треневка!D15+Туриловка!D15</f>
        <v>843.1</v>
      </c>
      <c r="F15" s="61"/>
      <c r="G15" s="61"/>
    </row>
    <row r="16" spans="1:8" s="6" customFormat="1" ht="31.5">
      <c r="A16" s="9" t="s">
        <v>40</v>
      </c>
      <c r="B16" s="43">
        <f>Верхнеталовка!B16+Волошино!B16+Дегтево!B16+Колодези!B16+Криворожье!B16+Мальчевская!B16+Миллерово!B16+'О.-Рог'!B16+Первомайское!B16+Сулин!B16+Титовка!B16+Треневка!B16+Туриловка!B16</f>
        <v>901.49999999999989</v>
      </c>
      <c r="C16" s="43">
        <f>Верхнеталовка!C16+Волошино!C16+Дегтево!C16+Колодези!C16+Криворожье!C16+Мальчевская!C16+Миллерово!C16+'О.-Рог'!C16+Первомайское!C16+Сулин!C16+Титовка!C16+Треневка!C16+Туриловка!C16</f>
        <v>2190.2000000000003</v>
      </c>
      <c r="D16" s="43">
        <f>Верхнеталовка!D16+Волошино!D16+Дегтево!D16+Колодези!D16+Криворожье!D16+Мальчевская!D16+Миллерово!D16+'О.-Рог'!D16+Первомайское!D16+Сулин!D16+Титовка!D16+Треневка!D16+Туриловка!D16</f>
        <v>76.900000000000006</v>
      </c>
      <c r="E16" s="61">
        <f>Верхнеталовка!D16+Волошино!D16+Дегтево!D16+Колодези!D16+Криворожье!D16+Мальчевская!D16+Миллерово!D16+'О.-Рог'!D16+Первомайское!D16+Сулин!D16+Титовка!D16+Треневка!D16+Туриловка!D16</f>
        <v>76.900000000000006</v>
      </c>
      <c r="F16" s="61"/>
      <c r="G16" s="61"/>
    </row>
    <row r="17" spans="1:7" s="6" customFormat="1">
      <c r="A17" s="9" t="s">
        <v>41</v>
      </c>
      <c r="B17" s="43">
        <f>Верхнеталовка!B17+Волошино!B17+Дегтево!B17+Колодези!B17+Криворожье!B17+Мальчевская!B17+Миллерово!B17+'О.-Рог'!B17+Первомайское!B17+Сулин!B17+Титовка!B17+Треневка!B17+Туриловка!B17</f>
        <v>397.5</v>
      </c>
      <c r="C17" s="43">
        <f>Верхнеталовка!C17+Волошино!C17+Дегтево!C17+Колодези!C17+Криворожье!C17+Мальчевская!C17+Миллерово!C17+'О.-Рог'!C17+Первомайское!C17+Сулин!C17+Титовка!C17+Треневка!C17+Туриловка!C17</f>
        <v>1395.7</v>
      </c>
      <c r="D17" s="43">
        <f>Верхнеталовка!D17+Волошино!D17+Дегтево!D17+Колодези!D17+Криворожье!D17+Мальчевская!D17+Миллерово!D17+'О.-Рог'!D17+Первомайское!D17+Сулин!D17+Титовка!D17+Треневка!D17+Туриловка!D17</f>
        <v>75</v>
      </c>
      <c r="E17" s="61">
        <f>Верхнеталовка!D17+Волошино!D17+Дегтево!D17+Колодези!D17+Криворожье!D17+Мальчевская!D17+Миллерово!D17+'О.-Рог'!D17+Первомайское!D17+Сулин!D17+Титовка!D17+Треневка!D17+Туриловка!D17</f>
        <v>75</v>
      </c>
      <c r="F17" s="61"/>
      <c r="G17" s="61"/>
    </row>
    <row r="18" spans="1:7" ht="18.75" customHeight="1">
      <c r="A18" s="9" t="s">
        <v>6</v>
      </c>
      <c r="B18" s="43">
        <f>Верхнеталовка!B18+Волошино!B18+Дегтево!B18+Колодези!B18+Криворожье!B18+Мальчевская!B18+Миллерово!B18+'О.-Рог'!B18+Первомайское!B18+Сулин!B18+Титовка!B18+Треневка!B18+Туриловка!B18</f>
        <v>3832.4999999999995</v>
      </c>
      <c r="C18" s="43">
        <f>Верхнеталовка!C18+Волошино!C18+Дегтево!C18+Колодези!C18+Криворожье!C18+Мальчевская!C18+Миллерово!C18+'О.-Рог'!C18+Первомайское!C18+Сулин!C18+Титовка!C18+Треневка!C18+Туриловка!C18</f>
        <v>3446.1000000000004</v>
      </c>
      <c r="D18" s="43">
        <f>Верхнеталовка!D18+Волошино!D18+Дегтево!D18+Колодези!D18+Криворожье!D18+Мальчевская!D18+Миллерово!D18+'О.-Рог'!D18+Первомайское!D18+Сулин!D18+Титовка!D18+Треневка!D18+Туриловка!D18</f>
        <v>516.9</v>
      </c>
      <c r="E18" s="61">
        <f>Верхнеталовка!D18+Волошино!D18+Дегтево!D18+Колодези!D18+Криворожье!D18+Мальчевская!D18+Миллерово!D18+'О.-Рог'!D18+Первомайское!D18+Сулин!D18+Титовка!D18+Треневка!D18+Туриловка!D18</f>
        <v>516.9</v>
      </c>
      <c r="F18" s="61"/>
      <c r="G18" s="61"/>
    </row>
    <row r="19" spans="1:7">
      <c r="A19" s="9" t="s">
        <v>29</v>
      </c>
      <c r="B19" s="43">
        <f>Верхнеталовка!B19+Волошино!B19+Дегтево!B19+Колодези!B19+Криворожье!B19+Мальчевская!B19+Миллерово!B19+'О.-Рог'!B19+Первомайское!B19+Сулин!B19+Титовка!B19+Треневка!B19+Туриловка!B19</f>
        <v>0</v>
      </c>
      <c r="C19" s="43">
        <f>Верхнеталовка!C19+Волошино!C19+Дегтево!C19+Колодези!C19+Криворожье!C19+Мальчевская!C19+Миллерово!C19+'О.-Рог'!C19+Первомайское!C19+Сулин!C19+Титовка!C19+Треневка!C19+Туриловка!C19</f>
        <v>0</v>
      </c>
      <c r="D19" s="43">
        <f>Верхнеталовка!D19+Волошино!D19+Дегтево!D19+Колодези!D19+Криворожье!D19+Мальчевская!D19+Миллерово!D19+'О.-Рог'!D19+Первомайское!D19+Сулин!D19+Титовка!D19+Треневка!D19+Туриловка!D19</f>
        <v>0</v>
      </c>
      <c r="E19" s="61">
        <f>Верхнеталовка!D19+Волошино!D19+Дегтево!D19+Колодези!D19+Криворожье!D19+Мальчевская!D19+Миллерово!D19+'О.-Рог'!D19+Первомайское!D19+Сулин!D19+Титовка!D19+Треневка!D19+Туриловка!D19</f>
        <v>0</v>
      </c>
      <c r="F19" s="61"/>
      <c r="G19" s="61"/>
    </row>
    <row r="20" spans="1:7">
      <c r="A20" s="9" t="s">
        <v>15</v>
      </c>
      <c r="B20" s="43">
        <f>Верхнеталовка!B20+Волошино!B20+Дегтево!B20+Колодези!B20+Криворожье!B20+Мальчевская!B20+Миллерово!B20+'О.-Рог'!B20+Первомайское!B20+Сулин!B20+Титовка!B20+Треневка!B20+Туриловка!B20</f>
        <v>0</v>
      </c>
      <c r="C20" s="43">
        <f>Верхнеталовка!C20+Волошино!C20+Дегтево!C20+Колодези!C20+Криворожье!C20+Мальчевская!C20+Миллерово!C20+'О.-Рог'!C20+Первомайское!C20+Сулин!C20+Титовка!C20+Треневка!C20+Туриловка!C20</f>
        <v>0</v>
      </c>
      <c r="D20" s="43">
        <f>Верхнеталовка!D20+Волошино!D20+Дегтево!D20+Колодези!D20+Криворожье!D20+Мальчевская!D20+Миллерово!D20+'О.-Рог'!D20+Первомайское!D20+Сулин!D20+Титовка!D20+Треневка!D20+Туриловка!D20</f>
        <v>0</v>
      </c>
      <c r="E20" s="61">
        <f>Верхнеталовка!D20+Волошино!D20+Дегтево!D20+Колодези!D20+Криворожье!D20+Мальчевская!D20+Миллерово!D20+'О.-Рог'!D20+Первомайское!D20+Сулин!D20+Титовка!D20+Треневка!D20+Туриловка!D20</f>
        <v>0</v>
      </c>
      <c r="F20" s="61"/>
      <c r="G20" s="61"/>
    </row>
    <row r="21" spans="1:7" ht="31.5">
      <c r="A21" s="10" t="s">
        <v>7</v>
      </c>
      <c r="B21" s="43">
        <f>Верхнеталовка!B21+Волошино!B21+Дегтево!B21+Колодези!B21+Криворожье!B21+Мальчевская!B21+Миллерово!B21+'О.-Рог'!B21+Первомайское!B21+Сулин!B21+Титовка!B21+Треневка!B21+Туриловка!B21</f>
        <v>85.699999999999989</v>
      </c>
      <c r="C21" s="43">
        <f>Верхнеталовка!C21+Волошино!C21+Дегтево!C21+Колодези!C21+Криворожье!C21+Мальчевская!C21+Миллерово!C21+'О.-Рог'!C21+Первомайское!C21+Сулин!C21+Титовка!C21+Треневка!C21+Туриловка!C21</f>
        <v>19</v>
      </c>
      <c r="D21" s="43">
        <f>Верхнеталовка!D21+Волошино!D21+Дегтево!D21+Колодези!D21+Криворожье!D21+Мальчевская!D21+Миллерово!D21+'О.-Рог'!D21+Первомайское!D21+Сулин!D21+Титовка!D21+Треневка!D21+Туриловка!D21</f>
        <v>1.2</v>
      </c>
      <c r="E21" s="61">
        <f>Верхнеталовка!D21+Волошино!D21+Дегтево!D21+Колодези!D21+Криворожье!D21+Мальчевская!D21+Миллерово!D21+'О.-Рог'!D21+Первомайское!D21+Сулин!D21+Титовка!D21+Треневка!D21+Туриловка!D21</f>
        <v>1.2</v>
      </c>
      <c r="F21" s="61"/>
      <c r="G21" s="61"/>
    </row>
    <row r="22" spans="1:7">
      <c r="A22" s="10" t="s">
        <v>8</v>
      </c>
      <c r="B22" s="43">
        <f>Верхнеталовка!B22+Волошино!B22+Дегтево!B22+Колодези!B22+Криворожье!B22+Мальчевская!B22+Миллерово!B22+'О.-Рог'!B22+Первомайское!B22+Сулин!B22+Титовка!B22+Треневка!B22+Туриловка!B22</f>
        <v>10.1</v>
      </c>
      <c r="C22" s="43">
        <f>Верхнеталовка!C22+Волошино!C22+Дегтево!C22+Колодези!C22+Криворожье!C22+Мальчевская!C22+Миллерово!C22+'О.-Рог'!C22+Первомайское!C22+Сулин!C22+Титовка!C22+Треневка!C22+Туриловка!C22</f>
        <v>10.5</v>
      </c>
      <c r="D22" s="43">
        <f>Верхнеталовка!D22+Волошино!D22+Дегтево!D22+Колодези!D22+Криворожье!D22+Мальчевская!D22+Миллерово!D22+'О.-Рог'!D22+Первомайское!D22+Сулин!D22+Титовка!D22+Треневка!D22+Туриловка!D22</f>
        <v>0</v>
      </c>
      <c r="E22" s="61">
        <f>Верхнеталовка!D22+Волошино!D22+Дегтево!D22+Колодези!D22+Криворожье!D22+Мальчевская!D22+Миллерово!D22+'О.-Рог'!D22+Первомайское!D22+Сулин!D22+Титовка!D22+Треневка!D22+Туриловка!D22</f>
        <v>0</v>
      </c>
      <c r="F22" s="61"/>
      <c r="G22" s="61"/>
    </row>
    <row r="23" spans="1:7">
      <c r="A23" s="10" t="s">
        <v>73</v>
      </c>
      <c r="B23" s="43">
        <f>Верхнеталовка!B23+Волошино!B23+Дегтево!B23+Колодези!B23+Криворожье!B23+Мальчевская!B23+Миллерово!B23+'О.-Рог'!B23+Первомайское!B23+Сулин!B23+Титовка!B23+Треневка!B23+Туриловка!B23</f>
        <v>296.60000000000002</v>
      </c>
      <c r="C23" s="43">
        <f>Верхнеталовка!C23+Волошино!C23+Дегтево!C23+Колодези!C23+Криворожье!C23+Мальчевская!C23+Миллерово!C23+'О.-Рог'!C23+Первомайское!C23+Сулин!C23+Титовка!C23+Треневка!C23+Туриловка!C23</f>
        <v>476.59999999999991</v>
      </c>
      <c r="D23" s="43">
        <f>Верхнеталовка!D23+Волошино!D23+Дегтево!D23+Колодези!D23+Криворожье!D23+Мальчевская!D23+Миллерово!D23+'О.-Рог'!D23+Первомайское!D23+Сулин!D23+Титовка!D23+Треневка!D23+Туриловка!D23</f>
        <v>13.899999999999999</v>
      </c>
      <c r="E23" s="61">
        <f>Верхнеталовка!D23+Волошино!D23+Дегтево!D23+Колодези!D23+Криворожье!D23+Мальчевская!D23+Миллерово!D23+'О.-Рог'!D23+Первомайское!D23+Сулин!D23+Титовка!D23+Треневка!D23+Туриловка!D23</f>
        <v>13.899999999999999</v>
      </c>
      <c r="F23" s="61"/>
      <c r="G23" s="61"/>
    </row>
    <row r="24" spans="1:7">
      <c r="A24" s="10" t="s">
        <v>74</v>
      </c>
      <c r="B24" s="43">
        <f>Верхнеталовка!B24+Волошино!B24+Дегтево!B24+Колодези!B24+Криворожье!B24+Мальчевская!B24+Миллерово!B24+'О.-Рог'!B24+Первомайское!B24+Сулин!B24+Титовка!B24+Треневка!B24+Туриловка!B24</f>
        <v>36.599999999999994</v>
      </c>
      <c r="C24" s="43">
        <f>Верхнеталовка!C24+Волошино!C24+Дегтево!C24+Колодези!C24+Криворожье!C24+Мальчевская!C24+Миллерово!C24+'О.-Рог'!C24+Первомайское!C24+Сулин!C24+Титовка!C24+Треневка!C24+Туриловка!C24</f>
        <v>2.6</v>
      </c>
      <c r="D24" s="43">
        <f>Верхнеталовка!D24+Волошино!D24+Дегтево!D24+Колодези!D24+Криворожье!D24+Мальчевская!D24+Миллерово!D24+'О.-Рог'!D24+Первомайское!D24+Сулин!D24+Титовка!D24+Треневка!D24+Туриловка!D24</f>
        <v>0</v>
      </c>
      <c r="E24" s="61">
        <f>Верхнеталовка!D24+Волошино!D24+Дегтево!D24+Колодези!D24+Криворожье!D24+Мальчевская!D24+Миллерово!D24+'О.-Рог'!D24+Первомайское!D24+Сулин!D24+Титовка!D24+Треневка!D24+Туриловка!D24</f>
        <v>0</v>
      </c>
      <c r="F24" s="61"/>
      <c r="G24" s="61"/>
    </row>
    <row r="25" spans="1:7">
      <c r="A25" s="10" t="s">
        <v>4</v>
      </c>
      <c r="B25" s="43">
        <f>Верхнеталовка!B25+Волошино!B25+Дегтево!B25+Колодези!B25+Криворожье!B25+Мальчевская!B25+Миллерово!B25+'О.-Рог'!B25+Первомайское!B25+Сулин!B25+Титовка!B25+Треневка!B25+Туриловка!B25</f>
        <v>6.5</v>
      </c>
      <c r="C25" s="43">
        <f>Верхнеталовка!C25+Волошино!C25+Дегтево!C25+Колодези!C25+Криворожье!C25+Мальчевская!C25+Миллерово!C25+'О.-Рог'!C25+Первомайское!C25+Сулин!C25+Титовка!C25+Треневка!C25+Туриловка!C25</f>
        <v>9.5</v>
      </c>
      <c r="D25" s="43">
        <f>Верхнеталовка!D25+Волошино!D25+Дегтево!D25+Колодези!D25+Криворожье!D25+Мальчевская!D25+Миллерово!D25+'О.-Рог'!D25+Первомайское!D25+Сулин!D25+Титовка!D25+Треневка!D25+Туриловка!D25</f>
        <v>1.3</v>
      </c>
      <c r="E25" s="61">
        <f>Верхнеталовка!D25+Волошино!D25+Дегтево!D25+Колодези!D25+Криворожье!D25+Мальчевская!D25+Миллерово!D25+'О.-Рог'!D25+Первомайское!D25+Сулин!D25+Титовка!D25+Треневка!D25+Туриловка!D25</f>
        <v>1.3</v>
      </c>
      <c r="F25" s="61"/>
      <c r="G25" s="61"/>
    </row>
    <row r="26" spans="1:7">
      <c r="A26" s="10" t="s">
        <v>45</v>
      </c>
      <c r="B26" s="43">
        <f>Верхнеталовка!B26+Волошино!B26+Дегтево!B26+Колодези!B26+Криворожье!B26+Мальчевская!B26+Миллерово!B26+'О.-Рог'!B26+Первомайское!B26+Сулин!B26+Титовка!B26+Треневка!B26+Туриловка!B26</f>
        <v>0</v>
      </c>
      <c r="C26" s="43">
        <f>Верхнеталовка!C26+Волошино!C26+Дегтево!C26+Колодези!C26+Криворожье!C26+Мальчевская!C26+Миллерово!C26+'О.-Рог'!C26+Первомайское!C26+Сулин!C26+Титовка!C26+Треневка!C26+Туриловка!C26</f>
        <v>0</v>
      </c>
      <c r="D26" s="43">
        <f>Верхнеталовка!D26+Волошино!D26+Дегтево!D26+Колодези!D26+Криворожье!D26+Мальчевская!D26+Миллерово!D26+'О.-Рог'!D26+Первомайское!D26+Сулин!D26+Титовка!D26+Треневка!D26+Туриловка!D26</f>
        <v>0</v>
      </c>
      <c r="E26" s="61">
        <f>Верхнеталовка!D26+Волошино!D26+Дегтево!D26+Колодези!D26+Криворожье!D26+Мальчевская!D26+Миллерово!D26+'О.-Рог'!D26+Первомайское!D26+Сулин!D26+Титовка!D26+Треневка!D26+Туриловка!D26</f>
        <v>0</v>
      </c>
      <c r="F26" s="61"/>
      <c r="G26" s="61"/>
    </row>
    <row r="27" spans="1:7">
      <c r="A27" s="11" t="s">
        <v>3</v>
      </c>
      <c r="B27" s="43">
        <f>Верхнеталовка!B27+Волошино!B27+Дегтево!B27+Колодези!B27+Криворожье!B27+Мальчевская!B27+Миллерово!B27+'О.-Рог'!B27+Первомайское!B27+Сулин!B27+Титовка!B27+Треневка!B27+Туриловка!B27</f>
        <v>1140.8999999999996</v>
      </c>
      <c r="C27" s="43">
        <f>Верхнеталовка!C27+Волошино!C27+Дегтево!C27+Колодези!C27+Криворожье!C27+Мальчевская!C27+Миллерово!C27+'О.-Рог'!C27+Первомайское!C27+Сулин!C27+Титовка!C27+Треневка!C27+Туриловка!C27</f>
        <v>2671.1000000000004</v>
      </c>
      <c r="D27" s="43">
        <f>Верхнеталовка!D27+Волошино!D27+Дегтево!D27+Колодези!D27+Криворожье!D27+Мальчевская!D27+Миллерово!D27+'О.-Рог'!D27+Первомайское!D27+Сулин!D27+Титовка!D27+Треневка!D27+Туриловка!D27</f>
        <v>247.60000000000002</v>
      </c>
      <c r="E27" s="61">
        <f>Верхнеталовка!D27+Волошино!D27+Дегтево!D27+Колодези!D27+Криворожье!D27+Мальчевская!D27+Миллерово!D27+'О.-Рог'!D27+Первомайское!D27+Сулин!D27+Титовка!D27+Треневка!D27+Туриловка!D27</f>
        <v>247.60000000000002</v>
      </c>
      <c r="F27" s="61"/>
      <c r="G27" s="61"/>
    </row>
    <row r="28" spans="1:7">
      <c r="A28" s="37" t="s">
        <v>75</v>
      </c>
      <c r="B28" s="35">
        <f>B29+B30+B31+B32+B33+B34+B35+B36+B37+B38+B39+B40+B41+B42+B43+B44+B45+B46+B47+B48+B49+B50+B51+B52+B53+B54+B55+B56+B57+B58+B59+B60+B61</f>
        <v>26155</v>
      </c>
      <c r="C28" s="79">
        <f t="shared" ref="C28:D28" si="2">C29+C30+C31+C32+C33+C34+C35+C36+C37+C38+C39+C40+C41+C42+C43+C44+C45+C46+C47+C48+C49+C50+C51+C52+C53+C54+C55+C56+C57+C58+C59+C60+C61</f>
        <v>28622.6</v>
      </c>
      <c r="D28" s="79">
        <f t="shared" si="2"/>
        <v>2405</v>
      </c>
      <c r="E28" s="61">
        <f>Верхнеталовка!D28+Волошино!D28+Дегтево!D28+Колодези!D28+Криворожье!D28+Мальчевская!D28+Миллерово!D28+'О.-Рог'!D28+Первомайское!D28+Сулин!D28+Титовка!D28+Треневка!D28+Туриловка!D28</f>
        <v>1835.7999999999997</v>
      </c>
      <c r="F28" s="61"/>
      <c r="G28" s="61"/>
    </row>
    <row r="29" spans="1:7" s="6" customFormat="1" ht="31.5">
      <c r="A29" s="10" t="s">
        <v>40</v>
      </c>
      <c r="B29" s="43">
        <f>Верхнеталовка!B29+Волошино!B29+Дегтево!B29+Колодези!B29+Криворожье!B29+Мальчевская!B29+Миллерово!B29+'О.-Рог'!B29+Первомайское!B29+Сулин!B29+Титовка!B29+Треневка!B29+Туриловка!B29</f>
        <v>389.90000000000003</v>
      </c>
      <c r="C29" s="43">
        <f>Верхнеталовка!C29+Волошино!C29+Дегтево!C29+Колодези!C29+Криворожье!C29+Мальчевская!C29+Миллерово!C29+'О.-Рог'!C29+Первомайское!C29+Сулин!C29+Титовка!C29+Треневка!C29+Туриловка!C29</f>
        <v>65.900000000000006</v>
      </c>
      <c r="D29" s="43">
        <f>Верхнеталовка!D29+Волошино!D29+Дегтево!D29+Колодези!D29+Криворожье!D29+Мальчевская!D29+Миллерово!D29+'О.-Рог'!D29+Первомайское!D29+Сулин!D29+Титовка!D29+Треневка!D29+Туриловка!D29</f>
        <v>3.1</v>
      </c>
      <c r="E29" s="61">
        <f>Верхнеталовка!D29+Волошино!D29+Дегтево!D29+Колодези!D29+Криворожье!D29+Мальчевская!D29+Миллерово!D29+'О.-Рог'!D29+Первомайское!D29+Сулин!D29+Титовка!D29+Треневка!D29+Туриловка!D29</f>
        <v>3.1</v>
      </c>
      <c r="F29" s="61"/>
      <c r="G29" s="61"/>
    </row>
    <row r="30" spans="1:7" s="6" customFormat="1">
      <c r="A30" s="10" t="s">
        <v>41</v>
      </c>
      <c r="B30" s="43">
        <f>Верхнеталовка!B30+Волошино!B30+Дегтево!B30+Колодези!B30+Криворожье!B30+Мальчевская!B30+Миллерово!B30+'О.-Рог'!B30+Первомайское!B30+Сулин!B30+Титовка!B30+Треневка!B30+Туриловка!B30</f>
        <v>350</v>
      </c>
      <c r="C30" s="43">
        <f>Верхнеталовка!C30+Волошино!C30+Дегтево!C30+Колодези!C30+Криворожье!C30+Мальчевская!C30+Миллерово!C30+'О.-Рог'!C30+Первомайское!C30+Сулин!C30+Титовка!C30+Треневка!C30+Туриловка!C30</f>
        <v>40</v>
      </c>
      <c r="D30" s="43">
        <f>Верхнеталовка!D30+Волошино!D30+Дегтево!D30+Колодези!D30+Криворожье!D30+Мальчевская!D30+Миллерово!D30+'О.-Рог'!D30+Первомайское!D30+Сулин!D30+Титовка!D30+Треневка!D30+Туриловка!D30</f>
        <v>0</v>
      </c>
      <c r="E30" s="61">
        <f>Верхнеталовка!D30+Волошино!D30+Дегтево!D30+Колодези!D30+Криворожье!D30+Мальчевская!D30+Миллерово!D30+'О.-Рог'!D30+Первомайское!D30+Сулин!D30+Титовка!D30+Треневка!D30+Туриловка!D30</f>
        <v>0</v>
      </c>
      <c r="F30" s="61"/>
      <c r="G30" s="61"/>
    </row>
    <row r="31" spans="1:7">
      <c r="A31" s="10" t="s">
        <v>24</v>
      </c>
      <c r="B31" s="43">
        <f>Верхнеталовка!B31+Волошино!B31+Дегтево!B31+Колодези!B31+Криворожье!B31+Мальчевская!B31+Миллерово!B31+'О.-Рог'!B31+Первомайское!B31+Сулин!B31+Титовка!B31+Треневка!B31+Туриловка!B31</f>
        <v>12.6</v>
      </c>
      <c r="C31" s="43">
        <f>Верхнеталовка!C31+Волошино!C31+Дегтево!C31+Колодези!C31+Криворожье!C31+Мальчевская!C31+Миллерово!C31+'О.-Рог'!C31+Первомайское!C31+Сулин!C31+Титовка!C31+Треневка!C31+Туриловка!C31</f>
        <v>15</v>
      </c>
      <c r="D31" s="43">
        <f>Верхнеталовка!D31+Волошино!D31+Дегтево!D31+Колодези!D31+Криворожье!D31+Мальчевская!D31+Миллерово!D31+'О.-Рог'!D31+Первомайское!D31+Сулин!D31+Титовка!D31+Треневка!D31+Туриловка!D31</f>
        <v>0</v>
      </c>
      <c r="E31" s="61">
        <f>Верхнеталовка!D31+Волошино!D31+Дегтево!D31+Колодези!D31+Криворожье!D31+Мальчевская!D31+Миллерово!D31+'О.-Рог'!D31+Первомайское!D31+Сулин!D31+Титовка!D31+Треневка!D31+Туриловка!D31</f>
        <v>0</v>
      </c>
      <c r="F31" s="61"/>
      <c r="G31" s="61"/>
    </row>
    <row r="32" spans="1:7">
      <c r="A32" s="10" t="s">
        <v>9</v>
      </c>
      <c r="B32" s="43">
        <f>Верхнеталовка!B32+Волошино!B32+Дегтево!B32+Колодези!B32+Криворожье!B32+Мальчевская!B32+Миллерово!B32+'О.-Рог'!B32+Первомайское!B32+Сулин!B32+Титовка!B32+Треневка!B32+Туриловка!B32</f>
        <v>3150.2</v>
      </c>
      <c r="C32" s="43">
        <f>Верхнеталовка!C32+Волошино!C32+Дегтево!C32+Колодези!C32+Криворожье!C32+Мальчевская!C32+Миллерово!C32+'О.-Рог'!C32+Первомайское!C32+Сулин!C32+Титовка!C32+Треневка!C32+Туриловка!C32</f>
        <v>3162.7000000000003</v>
      </c>
      <c r="D32" s="43">
        <f>Верхнеталовка!D32+Волошино!D32+Дегтево!D32+Колодези!D32+Криворожье!D32+Мальчевская!D32+Миллерово!D32+'О.-Рог'!D32+Первомайское!D32+Сулин!D32+Титовка!D32+Треневка!D32+Туриловка!D32</f>
        <v>429.20000000000005</v>
      </c>
      <c r="E32" s="61">
        <f>Верхнеталовка!D32+Волошино!D32+Дегтево!D32+Колодези!D32+Криворожье!D32+Мальчевская!D32+Миллерово!D32+'О.-Рог'!D32+Первомайское!D32+Сулин!D32+Титовка!D32+Треневка!D32+Туриловка!D32</f>
        <v>429.20000000000005</v>
      </c>
      <c r="F32" s="61"/>
      <c r="G32" s="61"/>
    </row>
    <row r="33" spans="1:7">
      <c r="A33" s="10" t="s">
        <v>25</v>
      </c>
      <c r="B33" s="43">
        <f>Верхнеталовка!B33+Волошино!B33+Дегтево!B33+Колодези!B33+Криворожье!B33+Мальчевская!B33+Миллерово!B33+'О.-Рог'!B33+Первомайское!B33+Сулин!B33+Титовка!B33+Треневка!B33+Туриловка!B33</f>
        <v>664.7</v>
      </c>
      <c r="C33" s="43">
        <f>Верхнеталовка!C33+Волошино!C33+Дегтево!C33+Колодези!C33+Криворожье!C33+Мальчевская!C33+Миллерово!C33+'О.-Рог'!C33+Первомайское!C33+Сулин!C33+Титовка!C33+Треневка!C33+Туриловка!C33</f>
        <v>678.6</v>
      </c>
      <c r="D33" s="43">
        <f>Верхнеталовка!D33+Волошино!D33+Дегтево!D33+Колодези!D33+Криворожье!D33+Мальчевская!D33+Миллерово!D33+'О.-Рог'!D33+Первомайское!D33+Сулин!D33+Титовка!D33+Треневка!D33+Туриловка!D33</f>
        <v>157.4</v>
      </c>
      <c r="E33" s="61">
        <f>Верхнеталовка!D33+Волошино!D33+Дегтево!D33+Колодези!D33+Криворожье!D33+Мальчевская!D33+Миллерово!D33+'О.-Рог'!D33+Первомайское!D33+Сулин!D33+Титовка!D33+Треневка!D33+Туриловка!D33</f>
        <v>157.4</v>
      </c>
      <c r="F33" s="61"/>
      <c r="G33" s="61"/>
    </row>
    <row r="34" spans="1:7" ht="17.25" customHeight="1">
      <c r="A34" s="10" t="s">
        <v>10</v>
      </c>
      <c r="B34" s="43">
        <f>Верхнеталовка!B34+Волошино!B34+Дегтево!B34+Колодези!B34+Криворожье!B34+Мальчевская!B34+Миллерово!B34+'О.-Рог'!B34+Первомайское!B34+Сулин!B34+Титовка!B34+Треневка!B34+Туриловка!B34</f>
        <v>172.49999999999997</v>
      </c>
      <c r="C34" s="43">
        <f>Верхнеталовка!C34+Волошино!C34+Дегтево!C34+Колодези!C34+Криворожье!C34+Мальчевская!C34+Миллерово!C34+'О.-Рог'!C34+Первомайское!C34+Сулин!C34+Титовка!C34+Треневка!C34+Туриловка!C34</f>
        <v>226.6</v>
      </c>
      <c r="D34" s="43">
        <f>Верхнеталовка!D34+Волошино!D34+Дегтево!D34+Колодези!D34+Криворожье!D34+Мальчевская!D34+Миллерово!D34+'О.-Рог'!D34+Первомайское!D34+Сулин!D34+Титовка!D34+Треневка!D34+Туриловка!D34</f>
        <v>15.4</v>
      </c>
      <c r="E34" s="61">
        <f>Верхнеталовка!D34+Волошино!D34+Дегтево!D34+Колодези!D34+Криворожье!D34+Мальчевская!D34+Миллерово!D34+'О.-Рог'!D34+Первомайское!D34+Сулин!D34+Титовка!D34+Треневка!D34+Туриловка!D34</f>
        <v>15.4</v>
      </c>
      <c r="F34" s="61"/>
      <c r="G34" s="61"/>
    </row>
    <row r="35" spans="1:7">
      <c r="A35" s="10" t="s">
        <v>11</v>
      </c>
      <c r="B35" s="43">
        <f>Верхнеталовка!B35+Волошино!B35+Дегтево!B35+Колодези!B35+Криворожье!B35+Мальчевская!B35+Миллерово!B35+'О.-Рог'!B35+Первомайское!B35+Сулин!B35+Титовка!B35+Треневка!B35+Туриловка!B35</f>
        <v>246.9</v>
      </c>
      <c r="C35" s="43">
        <f>Верхнеталовка!C35+Волошино!C35+Дегтево!C35+Колодези!C35+Криворожье!C35+Мальчевская!C35+Миллерово!C35+'О.-Рог'!C35+Первомайское!C35+Сулин!C35+Титовка!C35+Треневка!C35+Туриловка!C35</f>
        <v>235.4</v>
      </c>
      <c r="D35" s="43">
        <f>Верхнеталовка!D35+Волошино!D35+Дегтево!D35+Колодези!D35+Криворожье!D35+Мальчевская!D35+Миллерово!D35+'О.-Рог'!D35+Первомайское!D35+Сулин!D35+Титовка!D35+Треневка!D35+Туриловка!D35</f>
        <v>0.9</v>
      </c>
      <c r="E35" s="61">
        <f>Верхнеталовка!D35+Волошино!D35+Дегтево!D35+Колодези!D35+Криворожье!D35+Мальчевская!D35+Миллерово!D35+'О.-Рог'!D35+Первомайское!D35+Сулин!D35+Титовка!D35+Треневка!D35+Туриловка!D35</f>
        <v>0.9</v>
      </c>
      <c r="F35" s="61"/>
      <c r="G35" s="61"/>
    </row>
    <row r="36" spans="1:7">
      <c r="A36" s="10" t="s">
        <v>12</v>
      </c>
      <c r="B36" s="43">
        <f>Верхнеталовка!B36+Волошино!B36+Дегтево!B36+Колодези!B36+Криворожье!B36+Мальчевская!B36+Миллерово!B36+'О.-Рог'!B36+Первомайское!B36+Сулин!B36+Титовка!B36+Треневка!B36+Туриловка!B36</f>
        <v>761.80000000000007</v>
      </c>
      <c r="C36" s="43">
        <f>Верхнеталовка!C36+Волошино!C36+Дегтево!C36+Колодези!C36+Криворожье!C36+Мальчевская!C36+Миллерово!C36+'О.-Рог'!C36+Первомайское!C36+Сулин!C36+Титовка!C36+Треневка!C36+Туриловка!C36</f>
        <v>297.3</v>
      </c>
      <c r="D36" s="43">
        <f>Верхнеталовка!D36+Волошино!D36+Дегтево!D36+Колодези!D36+Криворожье!D36+Мальчевская!D36+Миллерово!D36+'О.-Рог'!D36+Первомайское!D36+Сулин!D36+Титовка!D36+Треневка!D36+Туриловка!D36</f>
        <v>0</v>
      </c>
      <c r="E36" s="61">
        <f>Верхнеталовка!D36+Волошино!D36+Дегтево!D36+Колодези!D36+Криворожье!D36+Мальчевская!D36+Миллерово!D36+'О.-Рог'!D36+Первомайское!D36+Сулин!D36+Титовка!D36+Треневка!D36+Туриловка!D36</f>
        <v>0</v>
      </c>
      <c r="F36" s="61"/>
      <c r="G36" s="61"/>
    </row>
    <row r="37" spans="1:7">
      <c r="A37" s="10" t="s">
        <v>28</v>
      </c>
      <c r="B37" s="43">
        <f>Верхнеталовка!B37+Волошино!B37+Дегтево!B37+Колодези!B37+Криворожье!B37+Мальчевская!B37+Миллерово!B37+'О.-Рог'!B37+Первомайское!B37+Сулин!B37+Титовка!B37+Треневка!B37+Туриловка!B37</f>
        <v>217.99999999999997</v>
      </c>
      <c r="C37" s="43">
        <f>Верхнеталовка!C37+Волошино!C37+Дегтево!C37+Колодези!C37+Криворожье!C37+Мальчевская!C37+Миллерово!C37+'О.-Рог'!C37+Первомайское!C37+Сулин!C37+Титовка!C37+Треневка!C37+Туриловка!C37</f>
        <v>581.20000000000005</v>
      </c>
      <c r="D37" s="43">
        <f>Верхнеталовка!D37+Волошино!D37+Дегтево!D37+Колодези!D37+Криворожье!D37+Мальчевская!D37+Миллерово!D37+'О.-Рог'!D37+Первомайское!D37+Сулин!D37+Титовка!D37+Треневка!D37+Туриловка!D37</f>
        <v>9.9</v>
      </c>
      <c r="E37" s="61">
        <f>Верхнеталовка!D37+Волошино!D37+Дегтево!D37+Колодези!D37+Криворожье!D37+Мальчевская!D37+Миллерово!D37+'О.-Рог'!D37+Первомайское!D37+Сулин!D37+Титовка!D37+Треневка!D37+Туриловка!D37</f>
        <v>9.9</v>
      </c>
      <c r="F37" s="61"/>
      <c r="G37" s="61"/>
    </row>
    <row r="38" spans="1:7" ht="31.5">
      <c r="A38" s="10" t="s">
        <v>13</v>
      </c>
      <c r="B38" s="43">
        <f>Верхнеталовка!B38+Волошино!B38+Дегтево!B38+Колодези!B38+Криворожье!B38+Мальчевская!B38+Миллерово!B38+'О.-Рог'!B38+Первомайское!B38+Сулин!B38+Титовка!B38+Треневка!B38+Туриловка!B38</f>
        <v>232.1</v>
      </c>
      <c r="C38" s="43">
        <f>Верхнеталовка!C38+Волошино!C38+Дегтево!C38+Колодези!C38+Криворожье!C38+Мальчевская!C38+Миллерово!C38+'О.-Рог'!C38+Первомайское!C38+Сулин!C38+Титовка!C38+Треневка!C38+Туриловка!C38</f>
        <v>35</v>
      </c>
      <c r="D38" s="43">
        <f>Верхнеталовка!D38+Волошино!D38+Дегтево!D38+Колодези!D38+Криворожье!D38+Мальчевская!D38+Миллерово!D38+'О.-Рог'!D38+Первомайское!D38+Сулин!D38+Титовка!D38+Треневка!D38+Туриловка!D38</f>
        <v>0</v>
      </c>
      <c r="E38" s="61">
        <f>Верхнеталовка!D38+Волошино!D38+Дегтево!D38+Колодези!D38+Криворожье!D38+Мальчевская!D38+Миллерово!D38+'О.-Рог'!D38+Первомайское!D38+Сулин!D38+Титовка!D38+Треневка!D38+Туриловка!D38</f>
        <v>0</v>
      </c>
      <c r="F38" s="61"/>
      <c r="G38" s="61"/>
    </row>
    <row r="39" spans="1:7">
      <c r="A39" s="10" t="s">
        <v>14</v>
      </c>
      <c r="B39" s="43">
        <f>Верхнеталовка!B39+Волошино!B39+Дегтево!B39+Колодези!B39+Криворожье!B39+Мальчевская!B39+Миллерово!B39+'О.-Рог'!B39+Первомайское!B39+Сулин!B39+Титовка!B39+Треневка!B39+Туриловка!B39</f>
        <v>0</v>
      </c>
      <c r="C39" s="43">
        <f>Верхнеталовка!C39+Волошино!C39+Дегтево!C39+Колодези!C39+Криворожье!C39+Мальчевская!C39+Миллерово!C39+'О.-Рог'!C39+Первомайское!C39+Сулин!C39+Титовка!C39+Треневка!C39+Туриловка!C39</f>
        <v>0</v>
      </c>
      <c r="D39" s="43">
        <f>Верхнеталовка!D39+Волошино!D39+Дегтево!D39+Колодези!D39+Криворожье!D39+Мальчевская!D39+Миллерово!D39+'О.-Рог'!D39+Первомайское!D39+Сулин!D39+Титовка!D39+Треневка!D39+Туриловка!D39</f>
        <v>0</v>
      </c>
      <c r="E39" s="61">
        <f>Верхнеталовка!D39+Волошино!D39+Дегтево!D39+Колодези!D39+Криворожье!D39+Мальчевская!D39+Миллерово!D39+'О.-Рог'!D39+Первомайское!D39+Сулин!D39+Титовка!D39+Треневка!D39+Туриловка!D39</f>
        <v>0</v>
      </c>
      <c r="F39" s="61"/>
      <c r="G39" s="61"/>
    </row>
    <row r="40" spans="1:7">
      <c r="A40" s="10" t="s">
        <v>31</v>
      </c>
      <c r="B40" s="43">
        <f>Верхнеталовка!B40+Волошино!B40+Дегтево!B40+Колодези!B40+Криворожье!B40+Мальчевская!B40+Миллерово!B40+'О.-Рог'!B40+Первомайское!B40+Сулин!B40+Титовка!B40+Треневка!B40+Туриловка!B40</f>
        <v>0</v>
      </c>
      <c r="C40" s="43">
        <f>Верхнеталовка!C40+Волошино!C40+Дегтево!C40+Колодези!C40+Криворожье!C40+Мальчевская!C40+Миллерово!C40+'О.-Рог'!C40+Первомайское!C40+Сулин!C40+Титовка!C40+Треневка!C40+Туриловка!C40</f>
        <v>0</v>
      </c>
      <c r="D40" s="43">
        <f>Верхнеталовка!D40+Волошино!D40+Дегтево!D40+Колодези!D40+Криворожье!D40+Мальчевская!D40+Миллерово!D40+'О.-Рог'!D40+Первомайское!D40+Сулин!D40+Титовка!D40+Треневка!D40+Туриловка!D40</f>
        <v>0</v>
      </c>
      <c r="E40" s="61">
        <f>Верхнеталовка!D40+Волошино!D40+Дегтево!D40+Колодези!D40+Криворожье!D40+Мальчевская!D40+Миллерово!D40+'О.-Рог'!D40+Первомайское!D40+Сулин!D40+Титовка!D40+Треневка!D40+Туриловка!D40</f>
        <v>0</v>
      </c>
      <c r="F40" s="61"/>
      <c r="G40" s="61"/>
    </row>
    <row r="41" spans="1:7">
      <c r="A41" s="10" t="s">
        <v>76</v>
      </c>
      <c r="B41" s="43">
        <f>Верхнеталовка!B41+Волошино!B41+Дегтево!B41+Колодези!B41+Криворожье!B41+Мальчевская!B41+Миллерово!B41+'О.-Рог'!B41+Первомайское!B41+Сулин!B41+Титовка!B41+Треневка!B41+Туриловка!B41</f>
        <v>45.399999999999991</v>
      </c>
      <c r="C41" s="43">
        <f>Верхнеталовка!C41+Волошино!C41+Дегтево!C41+Колодези!C41+Криворожье!C41+Мальчевская!C41+Миллерово!C41+'О.-Рог'!C41+Первомайское!C41+Сулин!C41+Титовка!C41+Треневка!C41+Туриловка!C41</f>
        <v>6.5</v>
      </c>
      <c r="D41" s="43">
        <f>Верхнеталовка!D41+Волошино!D41+Дегтево!D41+Колодези!D41+Криворожье!D41+Мальчевская!D41+Миллерово!D41+'О.-Рог'!D41+Первомайское!D41+Сулин!D41+Титовка!D41+Треневка!D41+Туриловка!D41</f>
        <v>0</v>
      </c>
      <c r="E41" s="61">
        <f>Верхнеталовка!D41+Волошино!D41+Дегтево!D41+Колодези!D41+Криворожье!D41+Мальчевская!D41+Миллерово!D41+'О.-Рог'!D41+Первомайское!D41+Сулин!D41+Титовка!D41+Треневка!D41+Туриловка!D41</f>
        <v>0</v>
      </c>
      <c r="F41" s="61"/>
      <c r="G41" s="61"/>
    </row>
    <row r="42" spans="1:7">
      <c r="A42" s="10" t="s">
        <v>15</v>
      </c>
      <c r="B42" s="43">
        <f>Верхнеталовка!B42+Волошино!B42+Дегтево!B42+Колодези!B42+Криворожье!B42+Мальчевская!B42+Миллерово!B42+'О.-Рог'!B42+Первомайское!B42+Сулин!B42+Титовка!B42+Треневка!B42+Туриловка!B42</f>
        <v>0</v>
      </c>
      <c r="C42" s="43">
        <f>Верхнеталовка!C42+Волошино!C42+Дегтево!C42+Колодези!C42+Криворожье!C42+Мальчевская!C42+Миллерово!C42+'О.-Рог'!C42+Первомайское!C42+Сулин!C42+Титовка!C42+Треневка!C42+Туриловка!C42</f>
        <v>0</v>
      </c>
      <c r="D42" s="43">
        <f>Верхнеталовка!D42+Волошино!D42+Дегтево!D42+Колодези!D42+Криворожье!D42+Мальчевская!D42+Миллерово!D42+'О.-Рог'!D42+Первомайское!D42+Сулин!D42+Титовка!D42+Треневка!D42+Туриловка!D42</f>
        <v>0</v>
      </c>
      <c r="E42" s="61">
        <f>Верхнеталовка!D42+Волошино!D42+Дегтево!D42+Колодези!D42+Криворожье!D42+Мальчевская!D42+Миллерово!D42+'О.-Рог'!D42+Первомайское!D42+Сулин!D42+Титовка!D42+Треневка!D42+Туриловка!D42</f>
        <v>0</v>
      </c>
      <c r="F42" s="61"/>
      <c r="G42" s="61"/>
    </row>
    <row r="43" spans="1:7">
      <c r="A43" s="10" t="s">
        <v>16</v>
      </c>
      <c r="B43" s="43">
        <f>Верхнеталовка!B43+Волошино!B43+Дегтево!B43+Колодези!B43+Криворожье!B43+Мальчевская!B43+Миллерово!B43+'О.-Рог'!B43+Первомайское!B43+Сулин!B43+Титовка!B43+Треневка!B43+Туриловка!B43</f>
        <v>0</v>
      </c>
      <c r="C43" s="43">
        <f>Верхнеталовка!C43+Волошино!C43+Дегтево!C43+Колодези!C43+Криворожье!C43+Мальчевская!C43+Миллерово!C43+'О.-Рог'!C43+Первомайское!C43+Сулин!C43+Титовка!C43+Треневка!C43+Туриловка!C43</f>
        <v>0</v>
      </c>
      <c r="D43" s="43">
        <f>Верхнеталовка!D43+Волошино!D43+Дегтево!D43+Колодези!D43+Криворожье!D43+Мальчевская!D43+Миллерово!D43+'О.-Рог'!D43+Первомайское!D43+Сулин!D43+Титовка!D43+Треневка!D43+Туриловка!D43</f>
        <v>0</v>
      </c>
      <c r="E43" s="61">
        <f>Верхнеталовка!D43+Волошино!D43+Дегтево!D43+Колодези!D43+Криворожье!D43+Мальчевская!D43+Миллерово!D43+'О.-Рог'!D43+Первомайское!D43+Сулин!D43+Титовка!D43+Треневка!D43+Туриловка!D43</f>
        <v>0</v>
      </c>
      <c r="F43" s="61"/>
      <c r="G43" s="61"/>
    </row>
    <row r="44" spans="1:7">
      <c r="A44" s="10" t="s">
        <v>17</v>
      </c>
      <c r="B44" s="43">
        <f>Верхнеталовка!B44+Волошино!B44+Дегтево!B44+Колодези!B44+Криворожье!B44+Мальчевская!B44+Миллерово!B44+'О.-Рог'!B44+Первомайское!B44+Сулин!B44+Титовка!B44+Треневка!B44+Туриловка!B44</f>
        <v>444.90000000000003</v>
      </c>
      <c r="C44" s="43">
        <f>Верхнеталовка!C44+Волошино!C44+Дегтево!C44+Колодези!C44+Криворожье!C44+Мальчевская!C44+Миллерово!C44+'О.-Рог'!C44+Первомайское!C44+Сулин!C44+Титовка!C44+Треневка!C44+Туриловка!C44</f>
        <v>406.5</v>
      </c>
      <c r="D44" s="43">
        <f>Верхнеталовка!D44+Волошино!D44+Дегтево!D44+Колодези!D44+Криворожье!D44+Мальчевская!D44+Миллерово!D44+'О.-Рог'!D44+Первомайское!D44+Сулин!D44+Титовка!D44+Треневка!D44+Туриловка!D44</f>
        <v>7</v>
      </c>
      <c r="E44" s="61">
        <f>Верхнеталовка!D44+Волошино!D44+Дегтево!D44+Колодези!D44+Криворожье!D44+Мальчевская!D44+Миллерово!D44+'О.-Рог'!D44+Первомайское!D44+Сулин!D44+Титовка!D44+Треневка!D44+Туриловка!D44</f>
        <v>7</v>
      </c>
      <c r="F44" s="61"/>
      <c r="G44" s="61"/>
    </row>
    <row r="45" spans="1:7">
      <c r="A45" s="10" t="s">
        <v>77</v>
      </c>
      <c r="B45" s="43">
        <f>Верхнеталовка!B45+Волошино!B45+Дегтево!B45+Колодези!B45+Криворожье!B45+Мальчевская!B45+Миллерово!B45+'О.-Рог'!B45+Первомайское!B45+Сулин!B45+Титовка!B45+Треневка!B45+Туриловка!B45</f>
        <v>0</v>
      </c>
      <c r="C45" s="43">
        <f>Верхнеталовка!C45+Волошино!C45+Дегтево!C45+Колодези!C45+Криворожье!C45+Мальчевская!C45+Миллерово!C45+'О.-Рог'!C45+Первомайское!C45+Сулин!C45+Титовка!C45+Треневка!C45+Туриловка!C45</f>
        <v>0</v>
      </c>
      <c r="D45" s="43">
        <f>Верхнеталовка!D45+Волошино!D45+Дегтево!D45+Колодези!D45+Криворожье!D45+Мальчевская!D45+Миллерово!D45+'О.-Рог'!D45+Первомайское!D45+Сулин!D45+Титовка!D45+Треневка!D45+Туриловка!D45</f>
        <v>0</v>
      </c>
      <c r="E45" s="61">
        <f>Верхнеталовка!D45+Волошино!D45+Дегтево!D45+Колодези!D45+Криворожье!D45+Мальчевская!D45+Миллерово!D45+'О.-Рог'!D45+Первомайское!D45+Сулин!D45+Титовка!D45+Треневка!D45+Туриловка!D45</f>
        <v>0</v>
      </c>
      <c r="F45" s="61"/>
      <c r="G45" s="61"/>
    </row>
    <row r="46" spans="1:7">
      <c r="A46" s="10" t="s">
        <v>22</v>
      </c>
      <c r="B46" s="43">
        <f>Верхнеталовка!B46+Волошино!B46+Дегтево!B46+Колодези!B46+Криворожье!B46+Мальчевская!B46+Миллерово!B46+'О.-Рог'!B46+Первомайское!B46+Сулин!B46+Титовка!B46+Треневка!B46+Туриловка!B46</f>
        <v>0</v>
      </c>
      <c r="C46" s="43">
        <f>Верхнеталовка!C46+Волошино!C46+Дегтево!C46+Колодези!C46+Криворожье!C46+Мальчевская!C46+Миллерово!C46+'О.-Рог'!C46+Первомайское!C46+Сулин!C46+Титовка!C46+Треневка!C46+Туриловка!C46</f>
        <v>0</v>
      </c>
      <c r="D46" s="43">
        <f>Верхнеталовка!D46+Волошино!D46+Дегтево!D46+Колодези!D46+Криворожье!D46+Мальчевская!D46+Миллерово!D46+'О.-Рог'!D46+Первомайское!D46+Сулин!D46+Титовка!D46+Треневка!D46+Туриловка!D46</f>
        <v>0</v>
      </c>
      <c r="E46" s="61">
        <f>Верхнеталовка!D46+Волошино!D46+Дегтево!D46+Колодези!D46+Криворожье!D46+Мальчевская!D46+Миллерово!D46+'О.-Рог'!D46+Первомайское!D46+Сулин!D46+Титовка!D46+Треневка!D46+Туриловка!D46</f>
        <v>0</v>
      </c>
      <c r="F46" s="61"/>
      <c r="G46" s="61"/>
    </row>
    <row r="47" spans="1:7">
      <c r="A47" s="10" t="s">
        <v>19</v>
      </c>
      <c r="B47" s="43">
        <f>Верхнеталовка!B47+Волошино!B47+Дегтево!B47+Колодези!B47+Криворожье!B47+Мальчевская!B47+Миллерово!B47+'О.-Рог'!B47+Первомайское!B47+Сулин!B47+Титовка!B47+Треневка!B47+Туриловка!B47</f>
        <v>0</v>
      </c>
      <c r="C47" s="43">
        <f>Верхнеталовка!C47+Волошино!C47+Дегтево!C47+Колодези!C47+Криворожье!C47+Мальчевская!C47+Миллерово!C47+'О.-Рог'!C47+Первомайское!C47+Сулин!C47+Титовка!C47+Треневка!C47+Туриловка!C47</f>
        <v>0</v>
      </c>
      <c r="D47" s="43">
        <f>Верхнеталовка!D47+Волошино!D47+Дегтево!D47+Колодези!D47+Криворожье!D47+Мальчевская!D47+Миллерово!D47+'О.-Рог'!D47+Первомайское!D47+Сулин!D47+Титовка!D47+Треневка!D47+Туриловка!D47</f>
        <v>0</v>
      </c>
      <c r="E47" s="61">
        <f>Верхнеталовка!D47+Волошино!D47+Дегтево!D47+Колодези!D47+Криворожье!D47+Мальчевская!D47+Миллерово!D47+'О.-Рог'!D47+Первомайское!D47+Сулин!D47+Титовка!D47+Треневка!D47+Туриловка!D47</f>
        <v>0</v>
      </c>
      <c r="F47" s="61"/>
      <c r="G47" s="61"/>
    </row>
    <row r="48" spans="1:7">
      <c r="A48" s="10" t="s">
        <v>20</v>
      </c>
      <c r="B48" s="43">
        <f>Верхнеталовка!B48+Волошино!B48+Дегтево!B48+Колодези!B48+Криворожье!B48+Мальчевская!B48+Миллерово!B48+'О.-Рог'!B48+Первомайское!B48+Сулин!B48+Титовка!B48+Треневка!B48+Туриловка!B48</f>
        <v>382.29999999999995</v>
      </c>
      <c r="C48" s="43">
        <f>Верхнеталовка!C48+Волошино!C48+Дегтево!C48+Колодези!C48+Криворожье!C48+Мальчевская!C48+Миллерово!C48+'О.-Рог'!C48+Первомайское!C48+Сулин!C48+Титовка!C48+Треневка!C48+Туриловка!C48</f>
        <v>355</v>
      </c>
      <c r="D48" s="43">
        <f>Верхнеталовка!D48+Волошино!D48+Дегтево!D48+Колодези!D48+Криворожье!D48+Мальчевская!D48+Миллерово!D48+'О.-Рог'!D48+Первомайское!D48+Сулин!D48+Титовка!D48+Треневка!D48+Туриловка!D48</f>
        <v>0</v>
      </c>
      <c r="E48" s="61">
        <f>Верхнеталовка!D48+Волошино!D48+Дегтево!D48+Колодези!D48+Криворожье!D48+Мальчевская!D48+Миллерово!D48+'О.-Рог'!D48+Первомайское!D48+Сулин!D48+Титовка!D48+Треневка!D48+Туриловка!D48</f>
        <v>0</v>
      </c>
      <c r="F48" s="61"/>
      <c r="G48" s="61"/>
    </row>
    <row r="49" spans="1:7" ht="15.75" customHeight="1">
      <c r="A49" s="10" t="s">
        <v>23</v>
      </c>
      <c r="B49" s="43">
        <f>Верхнеталовка!B49+Волошино!B49+Дегтево!B49+Колодези!B49+Криворожье!B49+Мальчевская!B49+Миллерово!B49+'О.-Рог'!B49+Первомайское!B49+Сулин!B49+Титовка!B49+Треневка!B49+Туриловка!B49</f>
        <v>100</v>
      </c>
      <c r="C49" s="43">
        <f>Верхнеталовка!C49+Волошино!C49+Дегтево!C49+Колодези!C49+Криворожье!C49+Мальчевская!C49+Миллерово!C49+'О.-Рог'!C49+Первомайское!C49+Сулин!C49+Титовка!C49+Треневка!C49+Туриловка!C49</f>
        <v>0</v>
      </c>
      <c r="D49" s="43">
        <f>Верхнеталовка!D49+Волошино!D49+Дегтево!D49+Колодези!D49+Криворожье!D49+Мальчевская!D49+Миллерово!D49+'О.-Рог'!D49+Первомайское!D49+Сулин!D49+Титовка!D49+Треневка!D49+Туриловка!D49</f>
        <v>0</v>
      </c>
      <c r="E49" s="61">
        <f>Верхнеталовка!D49+Волошино!D49+Дегтево!D49+Колодези!D49+Криворожье!D49+Мальчевская!D49+Миллерово!D49+'О.-Рог'!D49+Первомайское!D49+Сулин!D49+Титовка!D49+Треневка!D49+Туриловка!D49</f>
        <v>0</v>
      </c>
      <c r="F49" s="61"/>
      <c r="G49" s="61"/>
    </row>
    <row r="50" spans="1:7">
      <c r="A50" s="10" t="s">
        <v>18</v>
      </c>
      <c r="B50" s="43">
        <f>Верхнеталовка!B50+Волошино!B50+Дегтево!B50+Колодези!B50+Криворожье!B50+Мальчевская!B50+Миллерово!B50+'О.-Рог'!B50+Первомайское!B50+Сулин!B50+Титовка!B50+Треневка!B50+Туриловка!B50</f>
        <v>898</v>
      </c>
      <c r="C50" s="43">
        <f>Верхнеталовка!C50+Волошино!C50+Дегтево!C50+Колодези!C50+Криворожье!C50+Мальчевская!C50+Миллерово!C50+'О.-Рог'!C50+Первомайское!C50+Сулин!C50+Титовка!C50+Треневка!C50+Туриловка!C50</f>
        <v>997.80000000000007</v>
      </c>
      <c r="D50" s="43">
        <f>Верхнеталовка!D50+Волошино!D50+Дегтево!D50+Колодези!D50+Криворожье!D50+Мальчевская!D50+Миллерово!D50+'О.-Рог'!D50+Первомайское!D50+Сулин!D50+Титовка!D50+Треневка!D50+Туриловка!D50</f>
        <v>190.2</v>
      </c>
      <c r="E50" s="61">
        <f>Верхнеталовка!D50+Волошино!D50+Дегтево!D50+Колодези!D50+Криворожье!D50+Мальчевская!D50+Миллерово!D50+'О.-Рог'!D50+Первомайское!D50+Сулин!D50+Титовка!D50+Треневка!D50+Туриловка!D50</f>
        <v>190.2</v>
      </c>
      <c r="F50" s="61"/>
      <c r="G50" s="61"/>
    </row>
    <row r="51" spans="1:7">
      <c r="A51" s="10" t="s">
        <v>38</v>
      </c>
      <c r="B51" s="43">
        <f>Верхнеталовка!B51+Волошино!B51+Дегтево!B51+Колодези!B51+Криворожье!B51+Мальчевская!B51+Миллерово!B51+'О.-Рог'!B51+Первомайское!B51+Сулин!B51+Титовка!B51+Треневка!B51+Туриловка!B51</f>
        <v>0</v>
      </c>
      <c r="C51" s="43">
        <f>Верхнеталовка!C51+Волошино!C51+Дегтево!C51+Колодези!C51+Криворожье!C51+Мальчевская!C51+Миллерово!C51+'О.-Рог'!C51+Первомайское!C51+Сулин!C51+Титовка!C51+Треневка!C51+Туриловка!C51</f>
        <v>0</v>
      </c>
      <c r="D51" s="43">
        <f>Верхнеталовка!D51+Волошино!D51+Дегтево!D51+Колодези!D51+Криворожье!D51+Мальчевская!D51+Миллерово!D51+'О.-Рог'!D51+Первомайское!D51+Сулин!D51+Титовка!D51+Треневка!D51+Туриловка!D51</f>
        <v>0</v>
      </c>
      <c r="E51" s="61">
        <f>Верхнеталовка!D51+Волошино!D51+Дегтево!D51+Колодези!D51+Криворожье!D51+Мальчевская!D51+Миллерово!D51+'О.-Рог'!D51+Первомайское!D51+Сулин!D51+Титовка!D51+Треневка!D51+Туриловка!D51</f>
        <v>0</v>
      </c>
      <c r="F51" s="61"/>
      <c r="G51" s="61"/>
    </row>
    <row r="52" spans="1:7" ht="31.5">
      <c r="A52" s="10" t="s">
        <v>32</v>
      </c>
      <c r="B52" s="43">
        <f>Верхнеталовка!B52+Волошино!B52+Дегтево!B52+Колодези!B52+Криворожье!B52+Мальчевская!B52+Миллерово!B52+'О.-Рог'!B52+Первомайское!B52+Сулин!B52+Титовка!B52+Треневка!B52+Туриловка!B52</f>
        <v>0</v>
      </c>
      <c r="C52" s="43">
        <f>Верхнеталовка!C52+Волошино!C52+Дегтево!C52+Колодези!C52+Криворожье!C52+Мальчевская!C52+Миллерово!C52+'О.-Рог'!C52+Первомайское!C52+Сулин!C52+Титовка!C52+Треневка!C52+Туриловка!C52</f>
        <v>0</v>
      </c>
      <c r="D52" s="43">
        <f>Верхнеталовка!D52+Волошино!D52+Дегтево!D52+Колодези!D52+Криворожье!D52+Мальчевская!D52+Миллерово!D52+'О.-Рог'!D52+Первомайское!D52+Сулин!D52+Титовка!D52+Треневка!D52+Туриловка!D52</f>
        <v>0</v>
      </c>
      <c r="E52" s="61">
        <f>Верхнеталовка!D52+Волошино!D52+Дегтево!D52+Колодези!D52+Криворожье!D52+Мальчевская!D52+Миллерово!D52+'О.-Рог'!D52+Первомайское!D52+Сулин!D52+Титовка!D52+Треневка!D52+Туриловка!D52</f>
        <v>0</v>
      </c>
      <c r="F52" s="61"/>
      <c r="G52" s="61"/>
    </row>
    <row r="53" spans="1:7">
      <c r="A53" s="10" t="s">
        <v>39</v>
      </c>
      <c r="B53" s="43">
        <f>Верхнеталовка!B53+Волошино!B53+Дегтево!B53+Колодези!B53+Криворожье!B53+Мальчевская!B53+Миллерово!B53+'О.-Рог'!B53+Первомайское!B53+Сулин!B53+Титовка!B53+Треневка!B53+Туриловка!B53</f>
        <v>0</v>
      </c>
      <c r="C53" s="43">
        <f>Верхнеталовка!C53+Волошино!C53+Дегтево!C53+Колодези!C53+Криворожье!C53+Мальчевская!C53+Миллерово!C53+'О.-Рог'!C53+Первомайское!C53+Сулин!C53+Титовка!C53+Треневка!C53+Туриловка!C53</f>
        <v>0</v>
      </c>
      <c r="D53" s="43">
        <f>Верхнеталовка!D53+Волошино!D53+Дегтево!D53+Колодези!D53+Криворожье!D53+Мальчевская!D53+Миллерово!D53+'О.-Рог'!D53+Первомайское!D53+Сулин!D53+Титовка!D53+Треневка!D53+Туриловка!D53</f>
        <v>0</v>
      </c>
      <c r="E53" s="61">
        <f>Верхнеталовка!D53+Волошино!D53+Дегтево!D53+Колодези!D53+Криворожье!D53+Мальчевская!D53+Миллерово!D53+'О.-Рог'!D53+Первомайское!D53+Сулин!D53+Титовка!D53+Треневка!D53+Туриловка!D53</f>
        <v>0</v>
      </c>
      <c r="F53" s="61"/>
      <c r="G53" s="61"/>
    </row>
    <row r="54" spans="1:7">
      <c r="A54" s="10" t="s">
        <v>33</v>
      </c>
      <c r="B54" s="43">
        <f>Верхнеталовка!B54+Волошино!B54+Дегтево!B54+Колодези!B54+Криворожье!B54+Мальчевская!B54+Миллерово!B54+'О.-Рог'!B54+Первомайское!B54+Сулин!B54+Титовка!B54+Треневка!B54+Туриловка!B54</f>
        <v>0</v>
      </c>
      <c r="C54" s="43">
        <f>Верхнеталовка!C54+Волошино!C54+Дегтево!C54+Колодези!C54+Криворожье!C54+Мальчевская!C54+Миллерово!C54+'О.-Рог'!C54+Первомайское!C54+Сулин!C54+Титовка!C54+Треневка!C54+Туриловка!C54</f>
        <v>0.3</v>
      </c>
      <c r="D54" s="43">
        <f>Верхнеталовка!D54+Волошино!D54+Дегтево!D54+Колодези!D54+Криворожье!D54+Мальчевская!D54+Миллерово!D54+'О.-Рог'!D54+Первомайское!D54+Сулин!D54+Титовка!D54+Треневка!D54+Туриловка!D54</f>
        <v>0</v>
      </c>
      <c r="E54" s="61">
        <f>Верхнеталовка!D54+Волошино!D54+Дегтево!D54+Колодези!D54+Криворожье!D54+Мальчевская!D54+Миллерово!D54+'О.-Рог'!D54+Первомайское!D54+Сулин!D54+Титовка!D54+Треневка!D54+Туриловка!D54</f>
        <v>0</v>
      </c>
      <c r="F54" s="61"/>
      <c r="G54" s="61"/>
    </row>
    <row r="55" spans="1:7">
      <c r="A55" s="10" t="s">
        <v>34</v>
      </c>
      <c r="B55" s="43">
        <f>Верхнеталовка!B55+Волошино!B55+Дегтево!B55+Колодези!B55+Криворожье!B55+Мальчевская!B55+Миллерово!B55+'О.-Рог'!B55+Первомайское!B55+Сулин!B55+Титовка!B55+Треневка!B55+Туриловка!B55</f>
        <v>3.2</v>
      </c>
      <c r="C55" s="43">
        <f>Верхнеталовка!C55+Волошино!C55+Дегтево!C55+Колодези!C55+Криворожье!C55+Мальчевская!C55+Миллерово!C55+'О.-Рог'!C55+Первомайское!C55+Сулин!C55+Титовка!C55+Треневка!C55+Туриловка!C55</f>
        <v>6.8</v>
      </c>
      <c r="D55" s="43">
        <f>Верхнеталовка!D55+Волошино!D55+Дегтево!D55+Колодези!D55+Криворожье!D55+Мальчевская!D55+Миллерово!D55+'О.-Рог'!D55+Первомайское!D55+Сулин!D55+Титовка!D55+Треневка!D55+Туриловка!D55</f>
        <v>0</v>
      </c>
      <c r="E55" s="61">
        <f>Верхнеталовка!D55+Волошино!D55+Дегтево!D55+Колодези!D55+Криворожье!D55+Мальчевская!D55+Миллерово!D55+'О.-Рог'!D55+Первомайское!D55+Сулин!D55+Титовка!D55+Треневка!D55+Туриловка!D55</f>
        <v>0</v>
      </c>
      <c r="F55" s="61"/>
      <c r="G55" s="61"/>
    </row>
    <row r="56" spans="1:7">
      <c r="A56" s="10" t="s">
        <v>37</v>
      </c>
      <c r="B56" s="43">
        <f>Верхнеталовка!B56+Волошино!B56+Дегтево!B56+Колодези!B56+Криворожье!B56+Мальчевская!B56+Миллерово!B56+'О.-Рог'!B56+Первомайское!B56+Сулин!B56+Титовка!B56+Треневка!B56+Туриловка!B56</f>
        <v>0</v>
      </c>
      <c r="C56" s="43">
        <f>Верхнеталовка!C56+Волошино!C56+Дегтево!C56+Колодези!C56+Криворожье!C56+Мальчевская!C56+Миллерово!C56+'О.-Рог'!C56+Первомайское!C56+Сулин!C56+Титовка!C56+Треневка!C56+Туриловка!C56</f>
        <v>0</v>
      </c>
      <c r="D56" s="43">
        <f>Верхнеталовка!D56+Волошино!D56+Дегтево!D56+Колодези!D56+Криворожье!D56+Мальчевская!D56+Миллерово!D56+'О.-Рог'!D56+Первомайское!D56+Сулин!D56+Титовка!D56+Треневка!D56+Туриловка!D56</f>
        <v>0</v>
      </c>
      <c r="E56" s="61">
        <f>Верхнеталовка!D56+Волошино!D56+Дегтево!D56+Колодези!D56+Криворожье!D56+Мальчевская!D56+Миллерово!D56+'О.-Рог'!D56+Первомайское!D56+Сулин!D56+Титовка!D56+Треневка!D56+Туриловка!D56</f>
        <v>0</v>
      </c>
      <c r="F56" s="61"/>
      <c r="G56" s="61"/>
    </row>
    <row r="57" spans="1:7" ht="31.5">
      <c r="A57" s="10" t="s">
        <v>35</v>
      </c>
      <c r="B57" s="43">
        <f>Верхнеталовка!B57+Волошино!B57+Дегтево!B57+Колодези!B57+Криворожье!B57+Мальчевская!B57+Миллерово!B57+'О.-Рог'!B57+Первомайское!B57+Сулин!B57+Титовка!B57+Треневка!B57+Туриловка!B57</f>
        <v>0</v>
      </c>
      <c r="C57" s="43">
        <f>Верхнеталовка!C57+Волошино!C57+Дегтево!C57+Колодези!C57+Криворожье!C57+Мальчевская!C57+Миллерово!C57+'О.-Рог'!C57+Первомайское!C57+Сулин!C57+Титовка!C57+Треневка!C57+Туриловка!C57</f>
        <v>0</v>
      </c>
      <c r="D57" s="43">
        <f>Верхнеталовка!D57+Волошино!D57+Дегтево!D57+Колодези!D57+Криворожье!D57+Мальчевская!D57+Миллерово!D57+'О.-Рог'!D57+Первомайское!D57+Сулин!D57+Титовка!D57+Треневка!D57+Туриловка!D57</f>
        <v>0</v>
      </c>
      <c r="E57" s="61">
        <f>Верхнеталовка!D57+Волошино!D57+Дегтево!D57+Колодези!D57+Криворожье!D57+Мальчевская!D57+Миллерово!D57+'О.-Рог'!D57+Первомайское!D57+Сулин!D57+Титовка!D57+Треневка!D57+Туриловка!D57</f>
        <v>0</v>
      </c>
      <c r="F57" s="61"/>
      <c r="G57" s="61"/>
    </row>
    <row r="58" spans="1:7">
      <c r="A58" s="10" t="s">
        <v>36</v>
      </c>
      <c r="B58" s="43">
        <f>Верхнеталовка!B58+Волошино!B58+Дегтево!B58+Колодези!B58+Криворожье!B58+Мальчевская!B58+Миллерово!B58+'О.-Рог'!B58+Первомайское!B58+Сулин!B58+Титовка!B58+Треневка!B58+Туриловка!B58</f>
        <v>0</v>
      </c>
      <c r="C58" s="43">
        <f>Верхнеталовка!C58+Волошино!C58+Дегтево!C58+Колодези!C58+Криворожье!C58+Мальчевская!C58+Миллерово!C58+'О.-Рог'!C58+Первомайское!C58+Сулин!C58+Титовка!C58+Треневка!C58+Туриловка!C58</f>
        <v>0</v>
      </c>
      <c r="D58" s="43">
        <f>Верхнеталовка!D58+Волошино!D58+Дегтево!D58+Колодези!D58+Криворожье!D58+Мальчевская!D58+Миллерово!D58+'О.-Рог'!D58+Первомайское!D58+Сулин!D58+Титовка!D58+Треневка!D58+Туриловка!D58</f>
        <v>0</v>
      </c>
      <c r="E58" s="61">
        <f>Верхнеталовка!D58+Волошино!D58+Дегтево!D58+Колодези!D58+Криворожье!D58+Мальчевская!D58+Миллерово!D58+'О.-Рог'!D58+Первомайское!D58+Сулин!D58+Титовка!D58+Треневка!D58+Туриловка!D58</f>
        <v>0</v>
      </c>
      <c r="F58" s="61"/>
      <c r="G58" s="61"/>
    </row>
    <row r="59" spans="1:7">
      <c r="A59" s="10" t="s">
        <v>30</v>
      </c>
      <c r="B59" s="43">
        <f>Верхнеталовка!B59+Волошино!B59+Дегтево!B59+Колодези!B59+Криворожье!B59+Мальчевская!B59+Миллерово!B59+'О.-Рог'!B59+Первомайское!B59+Сулин!B59+Титовка!B59+Треневка!B59+Туриловка!B59</f>
        <v>17.5</v>
      </c>
      <c r="C59" s="43">
        <f>Верхнеталовка!C59+Волошино!C59+Дегтево!C59+Колодези!C59+Криворожье!C59+Мальчевская!C59+Миллерово!C59+'О.-Рог'!C59+Первомайское!C59+Сулин!C59+Титовка!C59+Треневка!C59+Туриловка!C59</f>
        <v>9</v>
      </c>
      <c r="D59" s="43">
        <f>Верхнеталовка!D59+Волошино!D59+Дегтево!D59+Колодези!D59+Криворожье!D59+Мальчевская!D59+Миллерово!D59+'О.-Рог'!D59+Первомайское!D59+Сулин!D59+Титовка!D59+Треневка!D59+Туриловка!D59</f>
        <v>4</v>
      </c>
      <c r="E59" s="61">
        <f>Верхнеталовка!D59+Волошино!D59+Дегтево!D59+Колодези!D59+Криворожье!D59+Мальчевская!D59+Миллерово!D59+'О.-Рог'!D59+Первомайское!D59+Сулин!D59+Титовка!D59+Треневка!D59+Туриловка!D59</f>
        <v>4</v>
      </c>
      <c r="F59" s="61"/>
      <c r="G59" s="61"/>
    </row>
    <row r="60" spans="1:7">
      <c r="A60" s="10" t="s">
        <v>78</v>
      </c>
      <c r="B60" s="43">
        <f>Верхнеталовка!B60+Волошино!B60+Дегтево!B60+Колодези!B60+Криворожье!B60+Мальчевская!B60+Миллерово!B60+'О.-Рог'!B60+Первомайское!B60+Сулин!B60+Титовка!B60+Треневка!B60+Туриловка!B60</f>
        <v>1750</v>
      </c>
      <c r="C60" s="43">
        <f>Верхнеталовка!C60+Волошино!C60+Дегтево!C60+Колодези!C60+Криворожье!C60+Мальчевская!C60+Миллерово!C60+'О.-Рог'!C60+Первомайское!C60+Сулин!C60+Титовка!C60+Треневка!C60+Туриловка!C60</f>
        <v>4919.5999999999995</v>
      </c>
      <c r="D60" s="43">
        <f>Верхнеталовка!D60+Волошино!D60+Дегтево!D60+Колодези!D60+Криворожье!D60+Мальчевская!D60+Миллерово!D60+'О.-Рог'!D60+Первомайское!D60+Сулин!D60+Титовка!D60+Треневка!D60+Туриловка!D60</f>
        <v>356.6</v>
      </c>
      <c r="E60" s="61">
        <f>Верхнеталовка!D60+Волошино!D60+Дегтево!D60+Колодези!D60+Криворожье!D60+Мальчевская!D60+Миллерово!D60+'О.-Рог'!D60+Первомайское!D60+Сулин!D60+Титовка!D60+Треневка!D60+Туриловка!D60</f>
        <v>356.6</v>
      </c>
      <c r="F60" s="61"/>
      <c r="G60" s="61"/>
    </row>
    <row r="61" spans="1:7">
      <c r="A61" s="10" t="s">
        <v>21</v>
      </c>
      <c r="B61" s="43">
        <f>Верхнеталовка!B61+Волошино!B61+Дегтево!B61+Колодези!B61+Криворожье!B61+Мальчевская!B61+Миллерово!B61+'О.-Рог'!B61+Первомайское!B61+Сулин!B61+Титовка!B61+Треневка!B61+Туриловка!B61</f>
        <v>16315</v>
      </c>
      <c r="C61" s="43">
        <f>Верхнеталовка!C61+Волошино!C61+Дегтево!C61+Колодези!C61+Криворожье!C61+Мальчевская!C61+Миллерово!C61+'О.-Рог'!C61+Первомайское!C61+Сулин!C61+Титовка!C61+Треневка!C61+Туриловка!C61</f>
        <v>16583.399999999998</v>
      </c>
      <c r="D61" s="43">
        <f>Верхнеталовка!D61+Волошино!D61+Дегтево!D61+Колодези!D61+Криворожье!D61+Мальчевская!D61+Миллерово!D61+'О.-Рог'!D61+Первомайское!D61+Сулин!D61+Титовка!D61+Треневка!D61+Туриловка!D61</f>
        <v>1231.3</v>
      </c>
      <c r="E61" s="61">
        <f>Верхнеталовка!D61+Волошино!D61+Дегтево!D61+Колодези!D61+Криворожье!D61+Мальчевская!D61+Миллерово!D61+'О.-Рог'!D61+Первомайское!D61+Сулин!D61+Титовка!D61+Треневка!D61+Туриловка!D61</f>
        <v>1231.3</v>
      </c>
      <c r="F61" s="61"/>
      <c r="G61" s="61"/>
    </row>
    <row r="62" spans="1:7">
      <c r="A62" s="38" t="s">
        <v>79</v>
      </c>
      <c r="B62" s="35">
        <f>B63+B64+B65+B66+B67+B68+B69+B70</f>
        <v>2817.7000000000003</v>
      </c>
      <c r="C62" s="35">
        <f t="shared" ref="C62:D62" si="3">C63+C64+C65+C66+C67+C68+C69+C70</f>
        <v>2129.8000000000002</v>
      </c>
      <c r="D62" s="79">
        <f t="shared" si="3"/>
        <v>79</v>
      </c>
      <c r="E62" s="61">
        <f>Верхнеталовка!D62+Волошино!D62+Дегтево!D62+Колодези!D62+Криворожье!D62+Мальчевская!D62+Миллерово!D62+'О.-Рог'!D62+Первомайское!D62+Сулин!D62+Титовка!D62+Треневка!D62+Туриловка!D62</f>
        <v>60.1</v>
      </c>
      <c r="F62" s="61"/>
      <c r="G62" s="61"/>
    </row>
    <row r="63" spans="1:7" s="30" customFormat="1">
      <c r="A63" s="10" t="s">
        <v>80</v>
      </c>
      <c r="B63" s="43">
        <f>Верхнеталовка!B63+Волошино!B63+Дегтево!B63+Колодези!B63+Криворожье!B63+Мальчевская!B63+Миллерово!B63+'О.-Рог'!B63+Первомайское!B63+Сулин!B63+Титовка!B63+Треневка!B63+Туриловка!B63</f>
        <v>6.5</v>
      </c>
      <c r="C63" s="43">
        <f>Верхнеталовка!C63+Волошино!C63+Дегтево!C63+Колодези!C63+Криворожье!C63+Мальчевская!C63+Миллерово!C63+'О.-Рог'!C63+Первомайское!C63+Сулин!C63+Титовка!C63+Треневка!C63+Туриловка!C63</f>
        <v>29.1</v>
      </c>
      <c r="D63" s="43">
        <f>Верхнеталовка!D63+Волошино!D63+Дегтево!D63+Колодези!D63+Криворожье!D63+Мальчевская!D63+Миллерово!D63+'О.-Рог'!D63+Первомайское!D63+Сулин!D63+Титовка!D63+Треневка!D63+Туриловка!D63</f>
        <v>0.6</v>
      </c>
      <c r="E63" s="61">
        <f>Верхнеталовка!D63+Волошино!D63+Дегтево!D63+Колодези!D63+Криворожье!D63+Мальчевская!D63+Миллерово!D63+'О.-Рог'!D63+Первомайское!D63+Сулин!D63+Титовка!D63+Треневка!D63+Туриловка!D63</f>
        <v>0.6</v>
      </c>
      <c r="F63" s="61"/>
      <c r="G63" s="61"/>
    </row>
    <row r="64" spans="1:7">
      <c r="A64" s="10" t="s">
        <v>81</v>
      </c>
      <c r="B64" s="43">
        <f>Верхнеталовка!B64+Волошино!B64+Дегтево!B64+Колодези!B64+Криворожье!B64+Мальчевская!B64+Миллерово!B64+'О.-Рог'!B64+Первомайское!B64+Сулин!B64+Титовка!B64+Треневка!B64+Туриловка!B64</f>
        <v>1415.7</v>
      </c>
      <c r="C64" s="43">
        <f>Верхнеталовка!C64+Волошино!C64+Дегтево!C64+Колодези!C64+Криворожье!C64+Мальчевская!C64+Миллерово!C64+'О.-Рог'!C64+Первомайское!C64+Сулин!C64+Титовка!C64+Треневка!C64+Туриловка!C64</f>
        <v>1531.5</v>
      </c>
      <c r="D64" s="43">
        <f>Верхнеталовка!D64+Волошино!D64+Дегтево!D64+Колодези!D64+Криворожье!D64+Мальчевская!D64+Миллерово!D64+'О.-Рог'!D64+Первомайское!D64+Сулин!D64+Титовка!D64+Треневка!D64+Туриловка!D64</f>
        <v>19.5</v>
      </c>
      <c r="E64" s="61">
        <f>Верхнеталовка!D64+Волошино!D64+Дегтево!D64+Колодези!D64+Криворожье!D64+Мальчевская!D64+Миллерово!D64+'О.-Рог'!D64+Первомайское!D64+Сулин!D64+Титовка!D64+Треневка!D64+Туриловка!D64</f>
        <v>19.5</v>
      </c>
      <c r="F64" s="61"/>
      <c r="G64" s="61"/>
    </row>
    <row r="65" spans="1:7">
      <c r="A65" s="10" t="s">
        <v>15</v>
      </c>
      <c r="B65" s="43">
        <f>Верхнеталовка!B65+Волошино!B65+Дегтево!B65+Колодези!B65+Криворожье!B65+Мальчевская!B65+Миллерово!B65+'О.-Рог'!B65+Первомайское!B65+Сулин!B65+Титовка!B65+Треневка!B65+Туриловка!B65</f>
        <v>0</v>
      </c>
      <c r="C65" s="43">
        <f>Верхнеталовка!C65+Волошино!C65+Дегтево!C65+Колодези!C65+Криворожье!C65+Мальчевская!C65+Миллерово!C65+'О.-Рог'!C65+Первомайское!C65+Сулин!C65+Титовка!C65+Треневка!C65+Туриловка!C65</f>
        <v>0</v>
      </c>
      <c r="D65" s="43">
        <f>Верхнеталовка!D65+Волошино!D65+Дегтево!D65+Колодези!D65+Криворожье!D65+Мальчевская!D65+Миллерово!D65+'О.-Рог'!D65+Первомайское!D65+Сулин!D65+Титовка!D65+Треневка!D65+Туриловка!D65</f>
        <v>0</v>
      </c>
      <c r="E65" s="61">
        <f>Верхнеталовка!D65+Волошино!D65+Дегтево!D65+Колодези!D65+Криворожье!D65+Мальчевская!D65+Миллерово!D65+'О.-Рог'!D65+Первомайское!D65+Сулин!D65+Титовка!D65+Треневка!D65+Туриловка!D65</f>
        <v>0</v>
      </c>
      <c r="F65" s="61"/>
      <c r="G65" s="61"/>
    </row>
    <row r="66" spans="1:7">
      <c r="A66" s="10" t="s">
        <v>82</v>
      </c>
      <c r="B66" s="43">
        <f>Верхнеталовка!B66+Волошино!B66+Дегтево!B66+Колодези!B66+Криворожье!B66+Мальчевская!B66+Миллерово!B66+'О.-Рог'!B66+Первомайское!B66+Сулин!B66+Титовка!B66+Треневка!B66+Туриловка!B66</f>
        <v>392</v>
      </c>
      <c r="C66" s="43">
        <f>Верхнеталовка!C66+Волошино!C66+Дегтево!C66+Колодези!C66+Криворожье!C66+Мальчевская!C66+Миллерово!C66+'О.-Рог'!C66+Первомайское!C66+Сулин!C66+Титовка!C66+Треневка!C66+Туриловка!C66</f>
        <v>392</v>
      </c>
      <c r="D66" s="43">
        <f>Верхнеталовка!D66+Волошино!D66+Дегтево!D66+Колодези!D66+Криворожье!D66+Мальчевская!D66+Миллерово!D66+'О.-Рог'!D66+Первомайское!D66+Сулин!D66+Титовка!D66+Треневка!D66+Туриловка!D66</f>
        <v>20</v>
      </c>
      <c r="E66" s="61">
        <f>Верхнеталовка!D66+Волошино!D66+Дегтево!D66+Колодези!D66+Криворожье!D66+Мальчевская!D66+Миллерово!D66+'О.-Рог'!D66+Первомайское!D66+Сулин!D66+Титовка!D66+Треневка!D66+Туриловка!D66</f>
        <v>20</v>
      </c>
      <c r="F66" s="61"/>
      <c r="G66" s="61"/>
    </row>
    <row r="67" spans="1:7">
      <c r="A67" s="10" t="s">
        <v>83</v>
      </c>
      <c r="B67" s="43">
        <f>Верхнеталовка!B67+Волошино!B67+Дегтево!B67+Колодези!B67+Криворожье!B67+Мальчевская!B67+Миллерово!B67+'О.-Рог'!B67+Первомайское!B67+Сулин!B67+Титовка!B67+Треневка!B67+Туриловка!B67</f>
        <v>0</v>
      </c>
      <c r="C67" s="43">
        <f>Верхнеталовка!C67+Волошино!C67+Дегтево!C67+Колодези!C67+Криворожье!C67+Мальчевская!C67+Миллерово!C67+'О.-Рог'!C67+Первомайское!C67+Сулин!C67+Титовка!C67+Треневка!C67+Туриловка!C67</f>
        <v>0</v>
      </c>
      <c r="D67" s="43">
        <f>Верхнеталовка!D67+Волошино!D67+Дегтево!D67+Колодези!D67+Криворожье!D67+Мальчевская!D67+Миллерово!D67+'О.-Рог'!D67+Первомайское!D67+Сулин!D67+Титовка!D67+Треневка!D67+Туриловка!D67</f>
        <v>0</v>
      </c>
      <c r="E67" s="61">
        <f>Верхнеталовка!D67+Волошино!D67+Дегтево!D67+Колодези!D67+Криворожье!D67+Мальчевская!D67+Миллерово!D67+'О.-Рог'!D67+Первомайское!D67+Сулин!D67+Титовка!D67+Треневка!D67+Туриловка!D67</f>
        <v>0</v>
      </c>
      <c r="F67" s="61"/>
      <c r="G67" s="61"/>
    </row>
    <row r="68" spans="1:7">
      <c r="A68" s="10" t="s">
        <v>84</v>
      </c>
      <c r="B68" s="43">
        <f>Верхнеталовка!B68+Волошино!B68+Дегтево!B68+Колодези!B68+Криворожье!B68+Мальчевская!B68+Миллерово!B68+'О.-Рог'!B68+Первомайское!B68+Сулин!B68+Титовка!B68+Треневка!B68+Туриловка!B68</f>
        <v>149.69999999999999</v>
      </c>
      <c r="C68" s="43">
        <f>Верхнеталовка!C68+Волошино!C68+Дегтево!C68+Колодези!C68+Криворожье!C68+Мальчевская!C68+Миллерово!C68+'О.-Рог'!C68+Первомайское!C68+Сулин!C68+Титовка!C68+Треневка!C68+Туриловка!C68</f>
        <v>85.2</v>
      </c>
      <c r="D68" s="43">
        <f>Верхнеталовка!D68+Волошино!D68+Дегтево!D68+Колодези!D68+Криворожье!D68+Мальчевская!D68+Миллерово!D68+'О.-Рог'!D68+Первомайское!D68+Сулин!D68+Титовка!D68+Треневка!D68+Туриловка!D68</f>
        <v>38.9</v>
      </c>
      <c r="E68" s="61">
        <f>Верхнеталовка!D68+Волошино!D68+Дегтево!D68+Колодези!D68+Криворожье!D68+Мальчевская!D68+Миллерово!D68+'О.-Рог'!D68+Первомайское!D68+Сулин!D68+Титовка!D68+Треневка!D68+Туриловка!D68</f>
        <v>38.9</v>
      </c>
      <c r="F68" s="61"/>
      <c r="G68" s="61"/>
    </row>
    <row r="69" spans="1:7">
      <c r="A69" s="10" t="s">
        <v>85</v>
      </c>
      <c r="B69" s="43">
        <f>Верхнеталовка!B69+Волошино!B69+Дегтево!B69+Колодези!B69+Криворожье!B69+Мальчевская!B69+Миллерово!B69+'О.-Рог'!B69+Первомайское!B69+Сулин!B69+Титовка!B69+Треневка!B69+Туриловка!B69</f>
        <v>0</v>
      </c>
      <c r="C69" s="43">
        <f>Верхнеталовка!C69+Волошино!C69+Дегтево!C69+Колодези!C69+Криворожье!C69+Мальчевская!C69+Миллерово!C69+'О.-Рог'!C69+Первомайское!C69+Сулин!C69+Титовка!C69+Треневка!C69+Туриловка!C69</f>
        <v>0</v>
      </c>
      <c r="D69" s="43">
        <f>Верхнеталовка!D69+Волошино!D69+Дегтево!D69+Колодези!D69+Криворожье!D69+Мальчевская!D69+Миллерово!D69+'О.-Рог'!D69+Первомайское!D69+Сулин!D69+Титовка!D69+Треневка!D69+Туриловка!D69</f>
        <v>0</v>
      </c>
      <c r="E69" s="61">
        <f>Верхнеталовка!D69+Волошино!D69+Дегтево!D69+Колодези!D69+Криворожье!D69+Мальчевская!D69+Миллерово!D69+'О.-Рог'!D69+Первомайское!D69+Сулин!D69+Титовка!D69+Треневка!D69+Туриловка!D69</f>
        <v>0</v>
      </c>
      <c r="F69" s="61"/>
      <c r="G69" s="61"/>
    </row>
    <row r="70" spans="1:7">
      <c r="A70" s="10" t="s">
        <v>86</v>
      </c>
      <c r="B70" s="43">
        <f>Верхнеталовка!B70+Волошино!B70+Дегтево!B70+Колодези!B70+Криворожье!B70+Мальчевская!B70+Миллерово!B70+'О.-Рог'!B70+Первомайское!B70+Сулин!B70+Титовка!B70+Треневка!B70+Туриловка!B70</f>
        <v>853.80000000000007</v>
      </c>
      <c r="C70" s="43">
        <f>Верхнеталовка!C70+Волошино!C70+Дегтево!C70+Колодези!C70+Криворожье!C70+Мальчевская!C70+Миллерово!C70+'О.-Рог'!C70+Первомайское!C70+Сулин!C70+Титовка!C70+Треневка!C70+Туриловка!C70</f>
        <v>92</v>
      </c>
      <c r="D70" s="43">
        <f>Верхнеталовка!D70+Волошино!D70+Дегтево!D70+Колодези!D70+Криворожье!D70+Мальчевская!D70+Миллерово!D70+'О.-Рог'!D70+Первомайское!D70+Сулин!D70+Титовка!D70+Треневка!D70+Туриловка!D70</f>
        <v>0</v>
      </c>
      <c r="E70" s="61">
        <f>Верхнеталовка!D70+Волошино!D70+Дегтево!D70+Колодези!D70+Криворожье!D70+Мальчевская!D70+Миллерово!D70+'О.-Рог'!D70+Первомайское!D70+Сулин!D70+Титовка!D70+Треневка!D70+Туриловка!D70</f>
        <v>0</v>
      </c>
      <c r="F70" s="61"/>
      <c r="G70" s="61"/>
    </row>
    <row r="71" spans="1:7">
      <c r="A71" s="38" t="s">
        <v>87</v>
      </c>
      <c r="B71" s="35">
        <f>B72+B73+B74</f>
        <v>0</v>
      </c>
      <c r="C71" s="35">
        <f t="shared" ref="C71:D71" si="4">C72+C73+C74</f>
        <v>0</v>
      </c>
      <c r="D71" s="35">
        <f t="shared" si="4"/>
        <v>0</v>
      </c>
      <c r="E71" s="61">
        <f>Верхнеталовка!D71+Волошино!D71+Дегтево!D71+Колодези!D71+Криворожье!D71+Мальчевская!D71+Миллерово!D71+'О.-Рог'!D71+Первомайское!D71+Сулин!D71+Титовка!D71+Треневка!D71+Туриловка!D71</f>
        <v>0</v>
      </c>
      <c r="F71" s="61"/>
      <c r="G71" s="61"/>
    </row>
    <row r="72" spans="1:7" ht="31.5">
      <c r="A72" s="10" t="s">
        <v>88</v>
      </c>
      <c r="B72" s="43">
        <f>Верхнеталовка!B72+Волошино!B72+Дегтево!B72+Колодези!B72+Криворожье!B72+Мальчевская!B72+Миллерово!B72+'О.-Рог'!B72+Первомайское!B72+Сулин!B72+Титовка!B72+Треневка!B72+Туриловка!B72</f>
        <v>0</v>
      </c>
      <c r="C72" s="43">
        <f>Верхнеталовка!C72+Волошино!C72+Дегтево!C72+Колодези!C72+Криворожье!C72+Мальчевская!C72+Миллерово!C72+'О.-Рог'!C72+Первомайское!C72+Сулин!C72+Титовка!C72+Треневка!C72+Туриловка!C72</f>
        <v>0</v>
      </c>
      <c r="D72" s="43">
        <f>[1]Верхнеталовка!D72+[1]Волошино!D72+[1]Дегтево!D72+[1]Колодези!D72+[1]Криворожье!D72+[1]Мальчевская!D72+[1]Миллерово!D72+'[1]О.-Рог'!D72+[1]Первомайское!D72+[1]Сулин!D72+[1]Титовка!D72+[1]Треневка!D72+[1]Туриловка!D72</f>
        <v>0</v>
      </c>
      <c r="E72" s="61">
        <f>Верхнеталовка!D72+Волошино!D72+Дегтево!D72+Колодези!D72+Криворожье!D72+Мальчевская!D72+Миллерово!D72+'О.-Рог'!D72+Первомайское!D72+Сулин!D72+Титовка!D72+Треневка!D72+Туриловка!D72</f>
        <v>0</v>
      </c>
      <c r="F72" s="61"/>
      <c r="G72" s="61"/>
    </row>
    <row r="73" spans="1:7">
      <c r="A73" s="10" t="s">
        <v>89</v>
      </c>
      <c r="B73" s="43">
        <f>Верхнеталовка!B73+Волошино!B73+Дегтево!B73+Колодези!B73+Криворожье!B73+Мальчевская!B73+Миллерово!B73+'О.-Рог'!B73+Первомайское!B73+Сулин!B73+Титовка!B73+Треневка!B73+Туриловка!B73</f>
        <v>0</v>
      </c>
      <c r="C73" s="43">
        <f>Верхнеталовка!C73+Волошино!C73+Дегтево!C73+Колодези!C73+Криворожье!C73+Мальчевская!C73+Миллерово!C73+'О.-Рог'!C73+Первомайское!C73+Сулин!C73+Титовка!C73+Треневка!C73+Туриловка!C73</f>
        <v>0</v>
      </c>
      <c r="D73" s="43">
        <f>[1]Верхнеталовка!D73+[1]Волошино!D73+[1]Дегтево!D73+[1]Колодези!D73+[1]Криворожье!D73+[1]Мальчевская!D73+[1]Миллерово!D73+'[1]О.-Рог'!D73+[1]Первомайское!D73+[1]Сулин!D73+[1]Титовка!D73+[1]Треневка!D73+[1]Туриловка!D73</f>
        <v>0</v>
      </c>
      <c r="E73" s="61">
        <f>Верхнеталовка!D73+Волошино!D73+Дегтево!D73+Колодези!D73+Криворожье!D73+Мальчевская!D73+Миллерово!D73+'О.-Рог'!D73+Первомайское!D73+Сулин!D73+Титовка!D73+Треневка!D73+Туриловка!D73</f>
        <v>0</v>
      </c>
      <c r="F73" s="61"/>
      <c r="G73" s="61"/>
    </row>
    <row r="74" spans="1:7">
      <c r="A74" s="10" t="s">
        <v>90</v>
      </c>
      <c r="B74" s="43">
        <f>Верхнеталовка!B74+Волошино!B74+Дегтево!B74+Колодези!B74+Криворожье!B74+Мальчевская!B74+Миллерово!B74+'О.-Рог'!B74+Первомайское!B74+Сулин!B74+Титовка!B74+Треневка!B74+Туриловка!B74</f>
        <v>0</v>
      </c>
      <c r="C74" s="43">
        <f>Верхнеталовка!C74+Волошино!C74+Дегтево!C74+Колодези!C74+Криворожье!C74+Мальчевская!C74+Миллерово!C74+'О.-Рог'!C74+Первомайское!C74+Сулин!C74+Титовка!C74+Треневка!C74+Туриловка!C74</f>
        <v>0</v>
      </c>
      <c r="D74" s="43">
        <f>[1]Верхнеталовка!D74+[1]Волошино!D74+[1]Дегтево!D74+[1]Колодези!D74+[1]Криворожье!D74+[1]Мальчевская!D74+[1]Миллерово!D74+'[1]О.-Рог'!D74+[1]Первомайское!D74+[1]Сулин!D74+[1]Титовка!D74+[1]Треневка!D74+[1]Туриловка!D74</f>
        <v>0</v>
      </c>
      <c r="E74" s="61">
        <f>Верхнеталовка!D74+Волошино!D74+Дегтево!D74+Колодези!D74+Криворожье!D74+Мальчевская!D74+Миллерово!D74+'О.-Рог'!D74+Первомайское!D74+Сулин!D74+Титовка!D74+Треневка!D74+Туриловка!D74</f>
        <v>0</v>
      </c>
      <c r="F74" s="61"/>
      <c r="G74" s="61"/>
    </row>
    <row r="75" spans="1:7">
      <c r="A75" s="38" t="s">
        <v>91</v>
      </c>
      <c r="B75" s="44">
        <f>B76+B77+B78+B79+B80+B81+B82+B83</f>
        <v>8158.7</v>
      </c>
      <c r="C75" s="35">
        <f>C76+C77+C78+C79+C80+C81+C82+C83</f>
        <v>10375.200000000003</v>
      </c>
      <c r="D75" s="79">
        <f t="shared" ref="D75" si="5">D76+D77+D78+D79+D80+D81+D82+D83</f>
        <v>1029</v>
      </c>
      <c r="E75" s="61">
        <f>Верхнеталовка!D75+Волошино!D75+Дегтево!D75+Колодези!D75+Криворожье!D75+Мальчевская!D75+Миллерово!D75+'О.-Рог'!D75+Первомайское!D75+Сулин!D75+Титовка!D75+Треневка!D75+Туриловка!D75</f>
        <v>793.4</v>
      </c>
      <c r="F75" s="61"/>
      <c r="G75" s="61"/>
    </row>
    <row r="76" spans="1:7">
      <c r="A76" s="9" t="s">
        <v>92</v>
      </c>
      <c r="B76" s="43">
        <f>Верхнеталовка!B76+Волошино!B76+Дегтево!B76+Колодези!B76+Криворожье!B76+Мальчевская!B76+Миллерово!B76+'О.-Рог'!B76+Первомайское!B76+Сулин!B76+Титовка!B76+Треневка!B76+Туриловка!B76</f>
        <v>730.5</v>
      </c>
      <c r="C76" s="43">
        <f>Верхнеталовка!C76+Волошино!C76+Дегтево!C76+Колодези!C76+Криворожье!C76+Мальчевская!C76+Миллерово!C76+'О.-Рог'!C76+Первомайское!C76+Сулин!C76+Титовка!C76+Треневка!C76+Туриловка!C76</f>
        <v>464.20000000000005</v>
      </c>
      <c r="D76" s="43">
        <f>Верхнеталовка!D76+Волошино!D76+Дегтево!D76+Колодези!D76+Криворожье!D76+Мальчевская!D76+Миллерово!D76+'О.-Рог'!D76+Первомайское!D76+Сулин!D76+Титовка!D76+Треневка!D76+Туриловка!D76</f>
        <v>62</v>
      </c>
      <c r="E76" s="61">
        <f>Верхнеталовка!D76+Волошино!D76+Дегтево!D76+Колодези!D76+Криворожье!D76+Мальчевская!D76+Миллерово!D76+'О.-Рог'!D76+Первомайское!D76+Сулин!D76+Титовка!D76+Треневка!D76+Туриловка!D76</f>
        <v>62</v>
      </c>
      <c r="F76" s="61"/>
      <c r="G76" s="61"/>
    </row>
    <row r="77" spans="1:7">
      <c r="A77" s="9" t="s">
        <v>0</v>
      </c>
      <c r="B77" s="43">
        <f>Верхнеталовка!B77+Волошино!B77+Дегтево!B77+Колодези!B77+Криворожье!B77+Мальчевская!B77+Миллерово!B77+'О.-Рог'!B77+Первомайское!B77+Сулин!B77+Титовка!B77+Треневка!B77+Туриловка!B77</f>
        <v>729.5</v>
      </c>
      <c r="C77" s="43">
        <f>Верхнеталовка!C77+Волошино!C77+Дегтево!C77+Колодези!C77+Криворожье!C77+Мальчевская!C77+Миллерово!C77+'О.-Рог'!C77+Первомайское!C77+Сулин!C77+Титовка!C77+Треневка!C77+Туриловка!C77</f>
        <v>904.3</v>
      </c>
      <c r="D77" s="43">
        <f>Верхнеталовка!D77+Волошино!D77+Дегтево!D77+Колодези!D77+Криворожье!D77+Мальчевская!D77+Миллерово!D77+'О.-Рог'!D77+Первомайское!D77+Сулин!D77+Титовка!D77+Треневка!D77+Туриловка!D77</f>
        <v>72.8</v>
      </c>
      <c r="E77" s="61">
        <f>Верхнеталовка!D77+Волошино!D77+Дегтево!D77+Колодези!D77+Криворожье!D77+Мальчевская!D77+Миллерово!D77+'О.-Рог'!D77+Первомайское!D77+Сулин!D77+Титовка!D77+Треневка!D77+Туриловка!D77</f>
        <v>72.8</v>
      </c>
      <c r="F77" s="61"/>
      <c r="G77" s="61"/>
    </row>
    <row r="78" spans="1:7">
      <c r="A78" s="9" t="s">
        <v>1</v>
      </c>
      <c r="B78" s="43">
        <f>Верхнеталовка!B78+Волошино!B78+Дегтево!B78+Колодези!B78+Криворожье!B78+Мальчевская!B78+Миллерово!B78+'О.-Рог'!B78+Первомайское!B78+Сулин!B78+Титовка!B78+Треневка!B78+Туриловка!B78</f>
        <v>1011.4999999999999</v>
      </c>
      <c r="C78" s="43">
        <f>Верхнеталовка!C78+Волошино!C78+Дегтево!C78+Колодези!C78+Криворожье!C78+Мальчевская!C78+Миллерово!C78+'О.-Рог'!C78+Первомайское!C78+Сулин!C78+Титовка!C78+Треневка!C78+Туриловка!C78</f>
        <v>895.70000000000016</v>
      </c>
      <c r="D78" s="43">
        <f>Верхнеталовка!D78+Волошино!D78+Дегтево!D78+Колодези!D78+Криворожье!D78+Мальчевская!D78+Миллерово!D78+'О.-Рог'!D78+Первомайское!D78+Сулин!D78+Титовка!D78+Треневка!D78+Туриловка!D78</f>
        <v>211.39999999999998</v>
      </c>
      <c r="E78" s="61">
        <f>Верхнеталовка!D78+Волошино!D78+Дегтево!D78+Колодези!D78+Криворожье!D78+Мальчевская!D78+Миллерово!D78+'О.-Рог'!D78+Первомайское!D78+Сулин!D78+Титовка!D78+Треневка!D78+Туриловка!D78</f>
        <v>211.39999999999998</v>
      </c>
      <c r="F78" s="61"/>
      <c r="G78" s="61"/>
    </row>
    <row r="79" spans="1:7">
      <c r="A79" s="9" t="s">
        <v>93</v>
      </c>
      <c r="B79" s="43">
        <f>Верхнеталовка!B79+Волошино!B79+Дегтево!B79+Колодези!B79+Криворожье!B79+Мальчевская!B79+Миллерово!B79+'О.-Рог'!B79+Первомайское!B79+Сулин!B79+Титовка!B79+Треневка!B79+Туриловка!B79</f>
        <v>411.40000000000003</v>
      </c>
      <c r="C79" s="43">
        <f>Верхнеталовка!C79+Волошино!C79+Дегтево!C79+Колодези!C79+Криворожье!C79+Мальчевская!C79+Миллерово!C79+'О.-Рог'!C79+Первомайское!C79+Сулин!C79+Титовка!C79+Треневка!C79+Туриловка!C79</f>
        <v>304.8</v>
      </c>
      <c r="D79" s="43">
        <f>Верхнеталовка!D79+Волошино!D79+Дегтево!D79+Колодези!D79+Криворожье!D79+Мальчевская!D79+Миллерово!D79+'О.-Рог'!D79+Первомайское!D79+Сулин!D79+Титовка!D79+Треневка!D79+Туриловка!D79</f>
        <v>0</v>
      </c>
      <c r="E79" s="61">
        <f>Верхнеталовка!D79+Волошино!D79+Дегтево!D79+Колодези!D79+Криворожье!D79+Мальчевская!D79+Миллерово!D79+'О.-Рог'!D79+Первомайское!D79+Сулин!D79+Титовка!D79+Треневка!D79+Туриловка!D79</f>
        <v>0</v>
      </c>
      <c r="F79" s="61"/>
      <c r="G79" s="61"/>
    </row>
    <row r="80" spans="1:7">
      <c r="A80" s="9" t="s">
        <v>26</v>
      </c>
      <c r="B80" s="43">
        <f>Верхнеталовка!B80+Волошино!B80+Дегтево!B80+Колодези!B80+Криворожье!B80+Мальчевская!B80+Миллерово!B80+'О.-Рог'!B80+Первомайское!B80+Сулин!B80+Титовка!B80+Треневка!B80+Туриловка!B80</f>
        <v>0</v>
      </c>
      <c r="C80" s="43">
        <f>Верхнеталовка!C80+Волошино!C80+Дегтево!C80+Колодези!C80+Криворожье!C80+Мальчевская!C80+Миллерово!C80+'О.-Рог'!C80+Первомайское!C80+Сулин!C80+Титовка!C80+Треневка!C80+Туриловка!C80</f>
        <v>0</v>
      </c>
      <c r="D80" s="43">
        <f>Верхнеталовка!D80+Волошино!D80+Дегтево!D80+Колодези!D80+Криворожье!D80+Мальчевская!D80+Миллерово!D80+'О.-Рог'!D80+Первомайское!D80+Сулин!D80+Титовка!D80+Треневка!D80+Туриловка!D80</f>
        <v>0</v>
      </c>
      <c r="E80" s="61">
        <f>Верхнеталовка!D80+Волошино!D80+Дегтево!D80+Колодези!D80+Криворожье!D80+Мальчевская!D80+Миллерово!D80+'О.-Рог'!D80+Первомайское!D80+Сулин!D80+Титовка!D80+Треневка!D80+Туриловка!D80</f>
        <v>0</v>
      </c>
      <c r="F80" s="61"/>
      <c r="G80" s="61"/>
    </row>
    <row r="81" spans="1:7">
      <c r="A81" s="9" t="s">
        <v>2</v>
      </c>
      <c r="B81" s="43">
        <f>Верхнеталовка!B81+Волошино!B81+Дегтево!B81+Колодези!B81+Криворожье!B81+Мальчевская!B81+Миллерово!B81+'О.-Рог'!B81+Первомайское!B81+Сулин!B81+Титовка!B81+Треневка!B81+Туриловка!B81</f>
        <v>1782</v>
      </c>
      <c r="C81" s="43">
        <f>Верхнеталовка!C81+Волошино!C81+Дегтево!C81+Колодези!C81+Криворожье!C81+Мальчевская!C81+Миллерово!C81+'О.-Рог'!C81+Первомайское!C81+Сулин!C81+Титовка!C81+Треневка!C81+Туриловка!C81</f>
        <v>4418.5000000000009</v>
      </c>
      <c r="D81" s="43">
        <f>Верхнеталовка!D81+Волошино!D81+Дегтево!D81+Колодези!D81+Криворожье!D81+Мальчевская!D81+Миллерово!D81+'О.-Рог'!D81+Первомайское!D81+Сулин!D81+Титовка!D81+Треневка!D81+Туриловка!D81</f>
        <v>134.39999999999998</v>
      </c>
      <c r="E81" s="61">
        <f>Верхнеталовка!D81+Волошино!D81+Дегтево!D81+Колодези!D81+Криворожье!D81+Мальчевская!D81+Миллерово!D81+'О.-Рог'!D81+Первомайское!D81+Сулин!D81+Титовка!D81+Треневка!D81+Туриловка!D81</f>
        <v>134.39999999999998</v>
      </c>
      <c r="F81" s="61"/>
      <c r="G81" s="61"/>
    </row>
    <row r="82" spans="1:7">
      <c r="A82" s="9" t="s">
        <v>94</v>
      </c>
      <c r="B82" s="43">
        <f>Верхнеталовка!B82+Волошино!B82+Дегтево!B82+Колодези!B82+Криворожье!B82+Мальчевская!B82+Миллерово!B82+'О.-Рог'!B82+Первомайское!B82+Сулин!B82+Титовка!B82+Треневка!B82+Туриловка!B82</f>
        <v>441.7</v>
      </c>
      <c r="C82" s="43">
        <f>Верхнеталовка!C82+Волошино!C82+Дегтево!C82+Колодези!C82+Криворожье!C82+Мальчевская!C82+Миллерово!C82+'О.-Рог'!C82+Первомайское!C82+Сулин!C82+Титовка!C82+Треневка!C82+Туриловка!C82</f>
        <v>382.6</v>
      </c>
      <c r="D82" s="43">
        <f>Верхнеталовка!D82+Волошино!D82+Дегтево!D82+Колодези!D82+Криворожье!D82+Мальчевская!D82+Миллерово!D82+'О.-Рог'!D82+Первомайское!D82+Сулин!D82+Титовка!D82+Треневка!D82+Туриловка!D82</f>
        <v>1.2</v>
      </c>
      <c r="E82" s="61">
        <f>Верхнеталовка!D82+Волошино!D82+Дегтево!D82+Колодези!D82+Криворожье!D82+Мальчевская!D82+Миллерово!D82+'О.-Рог'!D82+Первомайское!D82+Сулин!D82+Титовка!D82+Треневка!D82+Туриловка!D82</f>
        <v>1.2</v>
      </c>
      <c r="F82" s="61"/>
      <c r="G82" s="61"/>
    </row>
    <row r="83" spans="1:7">
      <c r="A83" s="9" t="s">
        <v>95</v>
      </c>
      <c r="B83" s="43">
        <f>Верхнеталовка!B83+Волошино!B83+Дегтево!B83+Колодези!B83+Криворожье!B83+Мальчевская!B83+Миллерово!B83+'О.-Рог'!B83+Первомайское!B83+Сулин!B83+Титовка!B83+Треневка!B83+Туриловка!B83</f>
        <v>3052.1000000000004</v>
      </c>
      <c r="C83" s="43">
        <f>Верхнеталовка!C83+Волошино!C83+Дегтево!C83+Колодези!C83+Криворожье!C83+Мальчевская!C83+Миллерово!C83+'О.-Рог'!C83+Первомайское!C83+Сулин!C83+Титовка!C83+Треневка!C83+Туриловка!C83</f>
        <v>3005.1</v>
      </c>
      <c r="D83" s="43">
        <f>Верхнеталовка!D83+Волошино!D83+Дегтево!D83+Колодези!D83+Криворожье!D83+Мальчевская!D83+Миллерово!D83+'О.-Рог'!D83+Первомайское!D83+Сулин!D83+Титовка!D83+Треневка!D83+Туриловка!D83</f>
        <v>547.19999999999993</v>
      </c>
      <c r="E83" s="61">
        <f>Верхнеталовка!D83+Волошино!D83+Дегтево!D83+Колодези!D83+Криворожье!D83+Мальчевская!D83+Миллерово!D83+'О.-Рог'!D83+Первомайское!D83+Сулин!D83+Титовка!D83+Треневка!D83+Туриловка!D83</f>
        <v>547.19999999999993</v>
      </c>
      <c r="F83" s="61"/>
      <c r="G83" s="61"/>
    </row>
    <row r="84" spans="1:7">
      <c r="A84" s="34" t="s">
        <v>96</v>
      </c>
      <c r="B84" s="35">
        <f>B85+B86+B87</f>
        <v>0</v>
      </c>
      <c r="C84" s="35">
        <f>C85+C86+C87</f>
        <v>0</v>
      </c>
      <c r="D84" s="35">
        <f>D85+D86+D87</f>
        <v>0</v>
      </c>
      <c r="E84" s="61" t="e">
        <f>Верхнеталовка!D84+Волошино!D84+Дегтево!D84+Колодези!D84+Криворожье!D84+Мальчевская!D84+Миллерово!D84+'О.-Рог'!D84+Первомайское!D84+Сулин!D84+Титовка!D84+Треневка!D84+Туриловка!D84</f>
        <v>#VALUE!</v>
      </c>
      <c r="F84" s="61"/>
      <c r="G84" s="61"/>
    </row>
    <row r="85" spans="1:7" ht="35.25" customHeight="1">
      <c r="A85" s="10" t="s">
        <v>97</v>
      </c>
      <c r="B85" s="43">
        <f>Верхнеталовка!B85+Волошино!B85+Дегтево!B85+Колодези!B85+Криворожье!B85+Мальчевская!B85+Миллерово!B85+'О.-Рог'!B85+Первомайское!B85+Сулин!B85+Титовка!B85+Треневка!B85+Туриловка!B85</f>
        <v>0</v>
      </c>
      <c r="C85" s="43">
        <f>Верхнеталовка!C85+Волошино!C85+Дегтево!C85+Колодези!C85+Криворожье!C85+Мальчевская!C85+Миллерово!C85+'О.-Рог'!C85+Первомайское!C85+Сулин!C85+Титовка!C85+Треневка!C85+Туриловка!C85</f>
        <v>0</v>
      </c>
      <c r="D85" s="43">
        <f>Верхнеталовка!D85+Волошино!D85+Дегтево!D85+Колодези!D85+Криворожье!D85+Мальчевская!D85+Миллерово!D85+'О.-Рог'!D85+Первомайское!D85+Сулин!D85+Титовка!D85+Треневка!D85+Туриловка!D85</f>
        <v>0</v>
      </c>
      <c r="E85" s="61">
        <f>Верхнеталовка!D85+Волошино!D85+Дегтево!D85+Колодези!D85+Криворожье!D85+Мальчевская!D85+Миллерово!D85+'О.-Рог'!D85+Первомайское!D85+Сулин!D85+Титовка!D85+Треневка!D85+Туриловка!D85</f>
        <v>0</v>
      </c>
      <c r="F85" s="61"/>
      <c r="G85" s="61"/>
    </row>
    <row r="86" spans="1:7">
      <c r="A86" s="10" t="s">
        <v>98</v>
      </c>
      <c r="B86" s="43">
        <f>Верхнеталовка!B86+Волошино!B86+Дегтево!B86+Колодези!B86+Криворожье!B86+Мальчевская!B86+Миллерово!B86+'О.-Рог'!B86+Первомайское!B86+Сулин!B86+Титовка!B86+Треневка!B86+Туриловка!B86</f>
        <v>0</v>
      </c>
      <c r="C86" s="43">
        <f>Верхнеталовка!C86+Волошино!C86+Дегтево!C86+Колодези!C86+Криворожье!C86+Мальчевская!C86+Миллерово!C86+'О.-Рог'!C86+Первомайское!C86+Сулин!C86+Титовка!C86+Треневка!C86+Туриловка!C86</f>
        <v>0</v>
      </c>
      <c r="D86" s="43">
        <f>Верхнеталовка!D86+Волошино!D86+Дегтево!D86+Колодези!D86+Криворожье!D86+Мальчевская!D86+Миллерово!D86+'О.-Рог'!D86+Первомайское!D86+Сулин!D86+Титовка!D86+Треневка!D86+Туриловка!D86</f>
        <v>0</v>
      </c>
      <c r="E86" s="61">
        <f>Верхнеталовка!D86+Волошино!D86+Дегтево!D86+Колодези!D86+Криворожье!D86+Мальчевская!D86+Миллерово!D86+'О.-Рог'!D86+Первомайское!D86+Сулин!D86+Титовка!D86+Треневка!D86+Туриловка!D86</f>
        <v>0</v>
      </c>
      <c r="F86" s="61"/>
      <c r="G86" s="61"/>
    </row>
    <row r="87" spans="1:7">
      <c r="A87" s="10" t="s">
        <v>99</v>
      </c>
      <c r="B87" s="43">
        <f>Верхнеталовка!B87+Волошино!B87+Дегтево!B87+Колодези!B87+Криворожье!B87+Мальчевская!B87+Миллерово!B87+'О.-Рог'!B87+Первомайское!B87+Сулин!B87+Титовка!B87+Треневка!B87+Туриловка!B87</f>
        <v>0</v>
      </c>
      <c r="C87" s="43">
        <f>Верхнеталовка!C87+Волошино!C87+Дегтево!C87+Колодези!C87+Криворожье!C87+Мальчевская!C87+Миллерово!C87+'О.-Рог'!C87+Первомайское!C87+Сулин!C87+Титовка!C87+Треневка!C87+Туриловка!C87</f>
        <v>0</v>
      </c>
      <c r="D87" s="43">
        <f>Верхнеталовка!D87+Волошино!D87+Дегтево!D87+Колодези!D87+Криворожье!D87+Мальчевская!D87+Миллерово!D87+'О.-Рог'!D87+Первомайское!D87+Сулин!D87+Титовка!D87+Треневка!D87+Туриловка!D87</f>
        <v>0</v>
      </c>
      <c r="E87" s="61">
        <f>Верхнеталовка!D87+Волошино!D87+Дегтево!D87+Колодези!D87+Криворожье!D87+Мальчевская!D87+Миллерово!D87+'О.-Рог'!D87+Первомайское!D87+Сулин!D87+Титовка!D87+Треневка!D87+Туриловка!D87</f>
        <v>0</v>
      </c>
      <c r="F87" s="61"/>
      <c r="G87" s="61"/>
    </row>
    <row r="88" spans="1:7" ht="56.25" customHeight="1">
      <c r="A88" s="205" t="s">
        <v>100</v>
      </c>
      <c r="B88" s="205"/>
      <c r="C88" s="205"/>
      <c r="D88" s="205"/>
    </row>
    <row r="89" spans="1:7" ht="66" customHeight="1">
      <c r="A89" s="189" t="s">
        <v>101</v>
      </c>
      <c r="B89" s="189"/>
      <c r="C89" s="189"/>
      <c r="D89" s="189"/>
    </row>
    <row r="90" spans="1:7">
      <c r="A90" s="32"/>
      <c r="B90" s="32"/>
    </row>
    <row r="95" spans="1:7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75" fitToHeight="2" orientation="portrait" r:id="rId1"/>
  <headerFooter alignWithMargins="0">
    <oddFooter>&amp;R&amp;P</oddFooter>
  </headerFooter>
  <rowBreaks count="1" manualBreakCount="1">
    <brk id="192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FFFF00"/>
  </sheetPr>
  <dimension ref="A1:D181"/>
  <sheetViews>
    <sheetView topLeftCell="A19" workbookViewId="0">
      <selection activeCell="D40" sqref="D40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 ht="15.75" customHeight="1">
      <c r="A4" s="191" t="s">
        <v>65</v>
      </c>
      <c r="B4" s="191"/>
      <c r="C4" s="191"/>
      <c r="D4" s="191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66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4" ht="16.5" customHeight="1">
      <c r="A8" s="3">
        <v>1</v>
      </c>
      <c r="B8" s="3">
        <v>2</v>
      </c>
      <c r="C8" s="3">
        <v>3</v>
      </c>
      <c r="D8" s="95">
        <v>4</v>
      </c>
    </row>
    <row r="9" spans="1:4" ht="25.5">
      <c r="A9" s="7" t="s">
        <v>68</v>
      </c>
      <c r="B9" s="144">
        <f>B15+B28+B62+B75</f>
        <v>944.7</v>
      </c>
      <c r="C9" s="144">
        <f>C15+C28+C62+C75</f>
        <v>1212.3</v>
      </c>
      <c r="D9" s="144">
        <f>D15+D28+D62+D75</f>
        <v>430.3</v>
      </c>
    </row>
    <row r="10" spans="1:4">
      <c r="A10" s="7" t="s">
        <v>69</v>
      </c>
      <c r="B10" s="144"/>
      <c r="C10" s="144"/>
      <c r="D10" s="144"/>
    </row>
    <row r="11" spans="1:4">
      <c r="A11" s="9" t="s">
        <v>70</v>
      </c>
      <c r="B11" s="145"/>
      <c r="C11" s="145"/>
      <c r="D11" s="145"/>
    </row>
    <row r="12" spans="1:4">
      <c r="A12" s="9" t="s">
        <v>27</v>
      </c>
      <c r="B12" s="145"/>
      <c r="C12" s="145"/>
      <c r="D12" s="145"/>
    </row>
    <row r="13" spans="1:4">
      <c r="A13" s="9" t="s">
        <v>71</v>
      </c>
      <c r="B13" s="145"/>
      <c r="C13" s="145"/>
      <c r="D13" s="145"/>
    </row>
    <row r="14" spans="1:4">
      <c r="A14" s="9" t="s">
        <v>5</v>
      </c>
      <c r="B14" s="145"/>
      <c r="C14" s="145"/>
      <c r="D14" s="145"/>
    </row>
    <row r="15" spans="1:4">
      <c r="A15" s="34" t="s">
        <v>72</v>
      </c>
      <c r="B15" s="27">
        <f>B16+B23+B27</f>
        <v>170.6</v>
      </c>
      <c r="C15" s="27">
        <f>C16+C23+C27+C24+C17</f>
        <v>270</v>
      </c>
      <c r="D15" s="27">
        <f>D16+D23+D27</f>
        <v>10.6</v>
      </c>
    </row>
    <row r="16" spans="1:4" s="6" customFormat="1" ht="31.5">
      <c r="A16" s="9" t="s">
        <v>40</v>
      </c>
      <c r="B16" s="27">
        <v>54</v>
      </c>
      <c r="C16" s="27">
        <v>138</v>
      </c>
      <c r="D16" s="27">
        <v>3.5</v>
      </c>
    </row>
    <row r="17" spans="1:4" s="6" customFormat="1">
      <c r="A17" s="9" t="s">
        <v>41</v>
      </c>
      <c r="B17" s="27"/>
      <c r="C17" s="27"/>
      <c r="D17" s="27"/>
    </row>
    <row r="18" spans="1:4" ht="18.75" customHeight="1">
      <c r="A18" s="9" t="s">
        <v>6</v>
      </c>
      <c r="B18" s="27"/>
      <c r="C18" s="27"/>
      <c r="D18" s="27"/>
    </row>
    <row r="19" spans="1:4">
      <c r="A19" s="9" t="s">
        <v>29</v>
      </c>
      <c r="B19" s="27"/>
      <c r="C19" s="27"/>
      <c r="D19" s="27"/>
    </row>
    <row r="20" spans="1:4">
      <c r="A20" s="9" t="s">
        <v>15</v>
      </c>
      <c r="B20" s="27"/>
      <c r="C20" s="27"/>
      <c r="D20" s="27"/>
    </row>
    <row r="21" spans="1:4" ht="31.5">
      <c r="A21" s="10" t="s">
        <v>7</v>
      </c>
      <c r="B21" s="27"/>
      <c r="C21" s="27"/>
      <c r="D21" s="27"/>
    </row>
    <row r="22" spans="1:4">
      <c r="A22" s="10" t="s">
        <v>8</v>
      </c>
      <c r="B22" s="27"/>
      <c r="C22" s="27"/>
      <c r="D22" s="27"/>
    </row>
    <row r="23" spans="1:4">
      <c r="A23" s="10" t="s">
        <v>73</v>
      </c>
      <c r="B23" s="27">
        <v>7</v>
      </c>
      <c r="C23" s="27">
        <v>12</v>
      </c>
      <c r="D23" s="27"/>
    </row>
    <row r="24" spans="1:4">
      <c r="A24" s="10" t="s">
        <v>74</v>
      </c>
      <c r="B24" s="27"/>
      <c r="C24" s="27"/>
      <c r="D24" s="27"/>
    </row>
    <row r="25" spans="1:4">
      <c r="A25" s="10" t="s">
        <v>4</v>
      </c>
      <c r="B25" s="27"/>
      <c r="C25" s="27"/>
      <c r="D25" s="27"/>
    </row>
    <row r="26" spans="1:4">
      <c r="A26" s="10" t="s">
        <v>45</v>
      </c>
      <c r="B26" s="27"/>
      <c r="C26" s="27"/>
      <c r="D26" s="27"/>
    </row>
    <row r="27" spans="1:4">
      <c r="A27" s="11" t="s">
        <v>3</v>
      </c>
      <c r="B27" s="27">
        <v>109.6</v>
      </c>
      <c r="C27" s="27">
        <v>120</v>
      </c>
      <c r="D27" s="27">
        <v>7.1</v>
      </c>
    </row>
    <row r="28" spans="1:4">
      <c r="A28" s="37" t="s">
        <v>75</v>
      </c>
      <c r="B28" s="27">
        <f>B32+B34+B36+B44+B50+B61+B35+B59+B38+B60+B30+B37</f>
        <v>401</v>
      </c>
      <c r="C28" s="27">
        <f>C30+C32+C34+C36+C44+C59+C50+C61+C35+C37+C38+C60</f>
        <v>706.1</v>
      </c>
      <c r="D28" s="27">
        <f>D32+D34+D36+D44+D50+D61+D35+D59+D38+D60+D30+D37</f>
        <v>385.2</v>
      </c>
    </row>
    <row r="29" spans="1:4" s="6" customFormat="1" ht="31.5">
      <c r="A29" s="10" t="s">
        <v>40</v>
      </c>
      <c r="B29" s="27"/>
      <c r="C29" s="27"/>
      <c r="D29" s="27"/>
    </row>
    <row r="30" spans="1:4" s="6" customFormat="1">
      <c r="A30" s="10" t="s">
        <v>41</v>
      </c>
      <c r="B30" s="27"/>
      <c r="C30" s="27"/>
      <c r="D30" s="27"/>
    </row>
    <row r="31" spans="1:4">
      <c r="A31" s="10" t="s">
        <v>24</v>
      </c>
      <c r="B31" s="145"/>
      <c r="C31" s="145"/>
      <c r="D31" s="145"/>
    </row>
    <row r="32" spans="1:4">
      <c r="A32" s="10" t="s">
        <v>9</v>
      </c>
      <c r="B32" s="27">
        <v>145.19999999999999</v>
      </c>
      <c r="C32" s="27">
        <v>186.3</v>
      </c>
      <c r="D32" s="27">
        <v>35.200000000000003</v>
      </c>
    </row>
    <row r="33" spans="1:4">
      <c r="A33" s="10" t="s">
        <v>25</v>
      </c>
      <c r="B33" s="27"/>
      <c r="C33" s="27"/>
      <c r="D33" s="27"/>
    </row>
    <row r="34" spans="1:4" ht="17.25" customHeight="1">
      <c r="A34" s="10" t="s">
        <v>10</v>
      </c>
      <c r="B34" s="27">
        <v>6.2</v>
      </c>
      <c r="C34" s="27">
        <v>10.4</v>
      </c>
      <c r="D34" s="27"/>
    </row>
    <row r="35" spans="1:4">
      <c r="A35" s="10" t="s">
        <v>11</v>
      </c>
      <c r="B35" s="27">
        <v>8.1999999999999993</v>
      </c>
      <c r="C35" s="27">
        <v>5.8</v>
      </c>
      <c r="D35" s="27"/>
    </row>
    <row r="36" spans="1:4">
      <c r="A36" s="10" t="s">
        <v>12</v>
      </c>
      <c r="B36" s="27">
        <v>5.5</v>
      </c>
      <c r="C36" s="27"/>
      <c r="D36" s="27"/>
    </row>
    <row r="37" spans="1:4">
      <c r="A37" s="10" t="s">
        <v>28</v>
      </c>
      <c r="B37" s="27">
        <v>7.8</v>
      </c>
      <c r="C37" s="27">
        <v>39</v>
      </c>
      <c r="D37" s="27"/>
    </row>
    <row r="38" spans="1:4" ht="31.5">
      <c r="A38" s="10" t="s">
        <v>13</v>
      </c>
      <c r="B38" s="27">
        <v>9.5</v>
      </c>
      <c r="C38" s="27">
        <v>20</v>
      </c>
      <c r="D38" s="27"/>
    </row>
    <row r="39" spans="1:4">
      <c r="A39" s="10" t="s">
        <v>14</v>
      </c>
      <c r="B39" s="27"/>
      <c r="C39" s="27"/>
      <c r="D39" s="27"/>
    </row>
    <row r="40" spans="1:4">
      <c r="A40" s="10" t="s">
        <v>31</v>
      </c>
      <c r="B40" s="27"/>
      <c r="C40" s="27"/>
      <c r="D40" s="27"/>
    </row>
    <row r="41" spans="1:4">
      <c r="A41" s="10" t="s">
        <v>76</v>
      </c>
      <c r="B41" s="27"/>
      <c r="C41" s="27"/>
      <c r="D41" s="27"/>
    </row>
    <row r="42" spans="1:4">
      <c r="A42" s="10" t="s">
        <v>15</v>
      </c>
      <c r="B42" s="27"/>
      <c r="C42" s="27"/>
      <c r="D42" s="27"/>
    </row>
    <row r="43" spans="1:4">
      <c r="A43" s="10" t="s">
        <v>16</v>
      </c>
      <c r="B43" s="27"/>
      <c r="C43" s="27"/>
      <c r="D43" s="27"/>
    </row>
    <row r="44" spans="1:4">
      <c r="A44" s="10" t="s">
        <v>17</v>
      </c>
      <c r="B44" s="27">
        <v>13.3</v>
      </c>
      <c r="C44" s="27">
        <v>42</v>
      </c>
      <c r="D44" s="27"/>
    </row>
    <row r="45" spans="1:4">
      <c r="A45" s="10" t="s">
        <v>77</v>
      </c>
      <c r="B45" s="27"/>
      <c r="C45" s="27"/>
      <c r="D45" s="27"/>
    </row>
    <row r="46" spans="1:4">
      <c r="A46" s="10" t="s">
        <v>22</v>
      </c>
      <c r="B46" s="27"/>
      <c r="C46" s="27"/>
      <c r="D46" s="27"/>
    </row>
    <row r="47" spans="1:4">
      <c r="A47" s="10" t="s">
        <v>19</v>
      </c>
      <c r="B47" s="27"/>
      <c r="C47" s="27"/>
      <c r="D47" s="27"/>
    </row>
    <row r="48" spans="1:4">
      <c r="A48" s="10" t="s">
        <v>20</v>
      </c>
      <c r="B48" s="27"/>
      <c r="C48" s="27"/>
      <c r="D48" s="27"/>
    </row>
    <row r="49" spans="1:4" ht="15.75" customHeight="1">
      <c r="A49" s="10" t="s">
        <v>23</v>
      </c>
      <c r="B49" s="27"/>
      <c r="C49" s="27"/>
      <c r="D49" s="27"/>
    </row>
    <row r="50" spans="1:4">
      <c r="A50" s="10" t="s">
        <v>18</v>
      </c>
      <c r="B50" s="27">
        <v>52.6</v>
      </c>
      <c r="C50" s="27">
        <v>52.6</v>
      </c>
      <c r="D50" s="27"/>
    </row>
    <row r="51" spans="1:4">
      <c r="A51" s="10" t="s">
        <v>38</v>
      </c>
      <c r="B51" s="27"/>
      <c r="C51" s="27"/>
      <c r="D51" s="27"/>
    </row>
    <row r="52" spans="1:4" ht="31.5">
      <c r="A52" s="10" t="s">
        <v>32</v>
      </c>
      <c r="B52" s="145"/>
      <c r="C52" s="145"/>
      <c r="D52" s="145"/>
    </row>
    <row r="53" spans="1:4">
      <c r="A53" s="10" t="s">
        <v>39</v>
      </c>
      <c r="B53" s="145"/>
      <c r="C53" s="145"/>
      <c r="D53" s="145"/>
    </row>
    <row r="54" spans="1:4">
      <c r="A54" s="10" t="s">
        <v>33</v>
      </c>
      <c r="B54" s="145"/>
      <c r="C54" s="145"/>
      <c r="D54" s="145"/>
    </row>
    <row r="55" spans="1:4">
      <c r="A55" s="10" t="s">
        <v>34</v>
      </c>
      <c r="B55" s="145"/>
      <c r="C55" s="145"/>
      <c r="D55" s="145"/>
    </row>
    <row r="56" spans="1:4">
      <c r="A56" s="10" t="s">
        <v>37</v>
      </c>
      <c r="B56" s="145"/>
      <c r="C56" s="145"/>
      <c r="D56" s="145"/>
    </row>
    <row r="57" spans="1:4" ht="31.5">
      <c r="A57" s="10" t="s">
        <v>35</v>
      </c>
      <c r="B57" s="145"/>
      <c r="C57" s="145"/>
      <c r="D57" s="145"/>
    </row>
    <row r="58" spans="1:4">
      <c r="A58" s="10" t="s">
        <v>36</v>
      </c>
      <c r="B58" s="145"/>
      <c r="C58" s="145"/>
      <c r="D58" s="145"/>
    </row>
    <row r="59" spans="1:4">
      <c r="A59" s="10" t="s">
        <v>30</v>
      </c>
      <c r="B59" s="27"/>
      <c r="C59" s="27"/>
      <c r="D59" s="27"/>
    </row>
    <row r="60" spans="1:4">
      <c r="A60" s="10" t="s">
        <v>78</v>
      </c>
      <c r="B60" s="27">
        <v>50</v>
      </c>
      <c r="C60" s="27">
        <v>350</v>
      </c>
      <c r="D60" s="27">
        <v>350</v>
      </c>
    </row>
    <row r="61" spans="1:4">
      <c r="A61" s="10" t="s">
        <v>21</v>
      </c>
      <c r="B61" s="27">
        <v>102.7</v>
      </c>
      <c r="C61" s="27"/>
      <c r="D61" s="27"/>
    </row>
    <row r="62" spans="1:4">
      <c r="A62" s="38" t="s">
        <v>79</v>
      </c>
      <c r="B62" s="27">
        <f>B66+B68+B70</f>
        <v>71.900000000000006</v>
      </c>
      <c r="C62" s="27">
        <f>C66+C68+C70</f>
        <v>20</v>
      </c>
      <c r="D62" s="27">
        <f>D66+D68+D70</f>
        <v>0</v>
      </c>
    </row>
    <row r="63" spans="1:4" s="30" customFormat="1">
      <c r="A63" s="10" t="s">
        <v>80</v>
      </c>
      <c r="B63" s="55"/>
      <c r="C63" s="55"/>
      <c r="D63" s="55"/>
    </row>
    <row r="64" spans="1:4">
      <c r="A64" s="10" t="s">
        <v>81</v>
      </c>
      <c r="B64" s="27"/>
      <c r="C64" s="27"/>
      <c r="D64" s="27"/>
    </row>
    <row r="65" spans="1:4">
      <c r="A65" s="10" t="s">
        <v>15</v>
      </c>
      <c r="B65" s="27"/>
      <c r="C65" s="27"/>
      <c r="D65" s="27"/>
    </row>
    <row r="66" spans="1:4">
      <c r="A66" s="10" t="s">
        <v>82</v>
      </c>
      <c r="B66" s="27">
        <v>20</v>
      </c>
      <c r="C66" s="27">
        <v>20</v>
      </c>
      <c r="D66" s="27"/>
    </row>
    <row r="67" spans="1:4">
      <c r="A67" s="10" t="s">
        <v>83</v>
      </c>
      <c r="B67" s="27"/>
      <c r="C67" s="27"/>
      <c r="D67" s="27"/>
    </row>
    <row r="68" spans="1:4">
      <c r="A68" s="10" t="s">
        <v>84</v>
      </c>
      <c r="B68" s="27">
        <v>51.9</v>
      </c>
      <c r="C68" s="27"/>
      <c r="D68" s="27"/>
    </row>
    <row r="69" spans="1:4">
      <c r="A69" s="10" t="s">
        <v>85</v>
      </c>
      <c r="B69" s="27"/>
      <c r="C69" s="27"/>
      <c r="D69" s="27"/>
    </row>
    <row r="70" spans="1:4">
      <c r="A70" s="10" t="s">
        <v>86</v>
      </c>
      <c r="B70" s="27"/>
      <c r="C70" s="27"/>
      <c r="D70" s="27"/>
    </row>
    <row r="71" spans="1:4">
      <c r="A71" s="38" t="s">
        <v>87</v>
      </c>
      <c r="B71" s="27"/>
      <c r="C71" s="27"/>
      <c r="D71" s="27"/>
    </row>
    <row r="72" spans="1:4" ht="31.5">
      <c r="A72" s="10" t="s">
        <v>88</v>
      </c>
      <c r="B72" s="27"/>
      <c r="C72" s="27"/>
      <c r="D72" s="27"/>
    </row>
    <row r="73" spans="1:4">
      <c r="A73" s="10" t="s">
        <v>89</v>
      </c>
      <c r="B73" s="27"/>
      <c r="C73" s="27"/>
      <c r="D73" s="27"/>
    </row>
    <row r="74" spans="1:4">
      <c r="A74" s="10" t="s">
        <v>90</v>
      </c>
      <c r="B74" s="145"/>
      <c r="C74" s="145"/>
      <c r="D74" s="145"/>
    </row>
    <row r="75" spans="1:4">
      <c r="A75" s="38" t="s">
        <v>91</v>
      </c>
      <c r="B75" s="27">
        <f>B77+B78+B81+B83+B76</f>
        <v>301.2</v>
      </c>
      <c r="C75" s="27">
        <f>C77+C78+C81+C83+C76</f>
        <v>216.2</v>
      </c>
      <c r="D75" s="27">
        <f>D77+D78+D81+D83+D76</f>
        <v>34.5</v>
      </c>
    </row>
    <row r="76" spans="1:4">
      <c r="A76" s="9" t="s">
        <v>92</v>
      </c>
      <c r="B76" s="27"/>
      <c r="C76" s="27"/>
      <c r="D76" s="27"/>
    </row>
    <row r="77" spans="1:4">
      <c r="A77" s="9" t="s">
        <v>0</v>
      </c>
      <c r="B77" s="27">
        <v>31.9</v>
      </c>
      <c r="C77" s="27">
        <v>54.8</v>
      </c>
      <c r="D77" s="27">
        <v>5.0999999999999996</v>
      </c>
    </row>
    <row r="78" spans="1:4">
      <c r="A78" s="9" t="s">
        <v>1</v>
      </c>
      <c r="B78" s="27">
        <v>40.4</v>
      </c>
      <c r="C78" s="27">
        <v>45.5</v>
      </c>
      <c r="D78" s="27">
        <v>20</v>
      </c>
    </row>
    <row r="79" spans="1:4">
      <c r="A79" s="9" t="s">
        <v>93</v>
      </c>
      <c r="B79" s="27"/>
      <c r="C79" s="27"/>
      <c r="D79" s="27"/>
    </row>
    <row r="80" spans="1:4">
      <c r="A80" s="9" t="s">
        <v>26</v>
      </c>
      <c r="B80" s="27"/>
      <c r="C80" s="27"/>
      <c r="D80" s="27"/>
    </row>
    <row r="81" spans="1:4">
      <c r="A81" s="9" t="s">
        <v>2</v>
      </c>
      <c r="B81" s="27">
        <v>228.9</v>
      </c>
      <c r="C81" s="27">
        <v>89.6</v>
      </c>
      <c r="D81" s="27">
        <v>9.4</v>
      </c>
    </row>
    <row r="82" spans="1:4">
      <c r="A82" s="9" t="s">
        <v>94</v>
      </c>
      <c r="B82" s="27"/>
      <c r="C82" s="27"/>
      <c r="D82" s="27"/>
    </row>
    <row r="83" spans="1:4">
      <c r="A83" s="9" t="s">
        <v>95</v>
      </c>
      <c r="B83" s="27"/>
      <c r="C83" s="56">
        <v>26.3</v>
      </c>
      <c r="D83" s="27"/>
    </row>
    <row r="84" spans="1:4">
      <c r="A84" s="34" t="s">
        <v>96</v>
      </c>
      <c r="B84" s="27"/>
      <c r="C84" s="56"/>
      <c r="D84" s="27"/>
    </row>
    <row r="85" spans="1:4" ht="15.75" customHeight="1">
      <c r="A85" s="10" t="s">
        <v>97</v>
      </c>
      <c r="B85" s="27"/>
      <c r="C85" s="27"/>
      <c r="D85" s="27"/>
    </row>
    <row r="86" spans="1:4">
      <c r="A86" s="10" t="s">
        <v>98</v>
      </c>
      <c r="B86" s="27"/>
      <c r="C86" s="27"/>
      <c r="D86" s="27"/>
    </row>
    <row r="87" spans="1:4">
      <c r="A87" s="10" t="s">
        <v>99</v>
      </c>
      <c r="B87" s="27"/>
      <c r="C87" s="27"/>
      <c r="D87" s="27"/>
    </row>
    <row r="88" spans="1:4" ht="36.75" customHeight="1">
      <c r="A88" s="205" t="s">
        <v>100</v>
      </c>
      <c r="B88" s="205"/>
      <c r="C88" s="205"/>
      <c r="D88" s="205"/>
    </row>
    <row r="89" spans="1:4" ht="39.75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tabColor rgb="FFFFFF00"/>
  </sheetPr>
  <dimension ref="A1:D199"/>
  <sheetViews>
    <sheetView topLeftCell="A13" workbookViewId="0">
      <selection activeCell="A24" sqref="A24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 ht="15.75" customHeight="1">
      <c r="A4" s="191" t="s">
        <v>65</v>
      </c>
      <c r="B4" s="191"/>
      <c r="C4" s="191"/>
      <c r="D4" s="191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90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4" ht="15.75" customHeight="1">
      <c r="A8" s="3">
        <v>1</v>
      </c>
      <c r="B8" s="3">
        <v>2</v>
      </c>
      <c r="C8" s="110">
        <v>3</v>
      </c>
      <c r="D8" s="116">
        <v>4</v>
      </c>
    </row>
    <row r="9" spans="1:4" ht="25.5">
      <c r="A9" s="7" t="s">
        <v>68</v>
      </c>
      <c r="B9" s="144">
        <f>B15+B28+B62+B75+B10</f>
        <v>2784.1</v>
      </c>
      <c r="C9" s="144">
        <f>C15+C28+C62+C75+C10</f>
        <v>2171.5</v>
      </c>
      <c r="D9" s="144">
        <f>D15+D28+D62+D75+D10</f>
        <v>276.59999999999997</v>
      </c>
    </row>
    <row r="10" spans="1:4">
      <c r="A10" s="7" t="s">
        <v>69</v>
      </c>
      <c r="B10" s="144">
        <f>B14</f>
        <v>0.9</v>
      </c>
      <c r="C10" s="144">
        <f>C14</f>
        <v>0</v>
      </c>
      <c r="D10" s="144">
        <f>D14</f>
        <v>0</v>
      </c>
    </row>
    <row r="11" spans="1:4">
      <c r="A11" s="9" t="s">
        <v>70</v>
      </c>
      <c r="B11" s="145"/>
      <c r="C11" s="145"/>
      <c r="D11" s="145"/>
    </row>
    <row r="12" spans="1:4">
      <c r="A12" s="9" t="s">
        <v>27</v>
      </c>
      <c r="B12" s="145"/>
      <c r="C12" s="145"/>
      <c r="D12" s="145"/>
    </row>
    <row r="13" spans="1:4">
      <c r="A13" s="9" t="s">
        <v>71</v>
      </c>
      <c r="B13" s="145"/>
      <c r="C13" s="145"/>
      <c r="D13" s="145"/>
    </row>
    <row r="14" spans="1:4">
      <c r="A14" s="9" t="s">
        <v>5</v>
      </c>
      <c r="B14" s="145">
        <v>0.9</v>
      </c>
      <c r="C14" s="145"/>
      <c r="D14" s="145"/>
    </row>
    <row r="15" spans="1:4">
      <c r="A15" s="8" t="s">
        <v>72</v>
      </c>
      <c r="B15" s="53">
        <f>SUM(B16:B27)</f>
        <v>1673.3999999999999</v>
      </c>
      <c r="C15" s="53">
        <f>SUM(C16:C27)</f>
        <v>1732.1000000000001</v>
      </c>
      <c r="D15" s="53">
        <f>SUM(D16:D27)</f>
        <v>218</v>
      </c>
    </row>
    <row r="16" spans="1:4" s="6" customFormat="1" ht="31.5">
      <c r="A16" s="9" t="s">
        <v>40</v>
      </c>
      <c r="B16" s="145">
        <f>108</f>
        <v>108</v>
      </c>
      <c r="C16" s="145">
        <f>111.5+10.5</f>
        <v>122</v>
      </c>
      <c r="D16" s="145">
        <f>28.5</f>
        <v>28.5</v>
      </c>
    </row>
    <row r="17" spans="1:4" s="6" customFormat="1">
      <c r="A17" s="9" t="s">
        <v>41</v>
      </c>
      <c r="B17" s="27"/>
      <c r="C17" s="27"/>
      <c r="D17" s="27"/>
    </row>
    <row r="18" spans="1:4" ht="18.75" customHeight="1">
      <c r="A18" s="9" t="s">
        <v>6</v>
      </c>
      <c r="B18" s="145">
        <f>1356.4</f>
        <v>1356.4</v>
      </c>
      <c r="C18" s="145">
        <f>1464.2</f>
        <v>1464.2</v>
      </c>
      <c r="D18" s="145">
        <f>188.1</f>
        <v>188.1</v>
      </c>
    </row>
    <row r="19" spans="1:4">
      <c r="A19" s="9" t="s">
        <v>29</v>
      </c>
      <c r="B19" s="145"/>
      <c r="C19" s="145"/>
      <c r="D19" s="145"/>
    </row>
    <row r="20" spans="1:4">
      <c r="A20" s="9" t="s">
        <v>15</v>
      </c>
      <c r="B20" s="145"/>
      <c r="C20" s="145"/>
      <c r="D20" s="145"/>
    </row>
    <row r="21" spans="1:4" ht="31.5">
      <c r="A21" s="10" t="s">
        <v>7</v>
      </c>
      <c r="B21" s="145">
        <f>42.4+7.4</f>
        <v>49.8</v>
      </c>
      <c r="C21" s="145"/>
      <c r="D21" s="145"/>
    </row>
    <row r="22" spans="1:4">
      <c r="A22" s="10" t="s">
        <v>8</v>
      </c>
      <c r="B22" s="145"/>
      <c r="C22" s="145"/>
      <c r="D22" s="145"/>
    </row>
    <row r="23" spans="1:4">
      <c r="A23" s="10" t="s">
        <v>73</v>
      </c>
      <c r="B23" s="145">
        <f>1.5+0.8+19.4+10.9</f>
        <v>32.6</v>
      </c>
      <c r="C23" s="145">
        <f>57.3+13.9</f>
        <v>71.2</v>
      </c>
      <c r="D23" s="145">
        <f>1.4</f>
        <v>1.4</v>
      </c>
    </row>
    <row r="24" spans="1:4">
      <c r="A24" s="10" t="s">
        <v>74</v>
      </c>
      <c r="B24" s="145">
        <f>36</f>
        <v>36</v>
      </c>
      <c r="C24" s="145"/>
      <c r="D24" s="145"/>
    </row>
    <row r="25" spans="1:4">
      <c r="A25" s="10" t="s">
        <v>4</v>
      </c>
      <c r="B25" s="145"/>
      <c r="C25" s="145"/>
      <c r="D25" s="145"/>
    </row>
    <row r="26" spans="1:4">
      <c r="A26" s="10" t="s">
        <v>45</v>
      </c>
      <c r="B26" s="145"/>
      <c r="C26" s="145"/>
      <c r="D26" s="145"/>
    </row>
    <row r="27" spans="1:4">
      <c r="A27" s="11" t="s">
        <v>3</v>
      </c>
      <c r="B27" s="145">
        <f>90.6</f>
        <v>90.6</v>
      </c>
      <c r="C27" s="145">
        <f>1+73.7</f>
        <v>74.7</v>
      </c>
      <c r="D27" s="145"/>
    </row>
    <row r="28" spans="1:4">
      <c r="A28" s="28" t="s">
        <v>75</v>
      </c>
      <c r="B28" s="53">
        <f>SUM(B29:B61)</f>
        <v>454.4</v>
      </c>
      <c r="C28" s="53">
        <f>SUM(C29:C61)</f>
        <v>311.39999999999998</v>
      </c>
      <c r="D28" s="53">
        <f>SUM(D29:D61)</f>
        <v>55.9</v>
      </c>
    </row>
    <row r="29" spans="1:4" s="6" customFormat="1" ht="31.5">
      <c r="A29" s="10" t="s">
        <v>40</v>
      </c>
      <c r="B29" s="27"/>
      <c r="C29" s="27"/>
      <c r="D29" s="27"/>
    </row>
    <row r="30" spans="1:4" s="6" customFormat="1">
      <c r="A30" s="10" t="s">
        <v>41</v>
      </c>
      <c r="B30" s="27"/>
      <c r="C30" s="27"/>
      <c r="D30" s="27"/>
    </row>
    <row r="31" spans="1:4">
      <c r="A31" s="10" t="s">
        <v>24</v>
      </c>
      <c r="B31" s="145"/>
      <c r="C31" s="145"/>
      <c r="D31" s="145"/>
    </row>
    <row r="32" spans="1:4">
      <c r="A32" s="10" t="s">
        <v>9</v>
      </c>
      <c r="B32" s="145">
        <f>50.4+111.9+15.6</f>
        <v>177.9</v>
      </c>
      <c r="C32" s="145">
        <f>42+129.8</f>
        <v>171.8</v>
      </c>
      <c r="D32" s="145">
        <f>6.9+42</f>
        <v>48.9</v>
      </c>
    </row>
    <row r="33" spans="1:4">
      <c r="A33" s="10" t="s">
        <v>25</v>
      </c>
      <c r="B33" s="145"/>
      <c r="C33" s="145"/>
      <c r="D33" s="145"/>
    </row>
    <row r="34" spans="1:4" ht="17.25" customHeight="1">
      <c r="A34" s="10" t="s">
        <v>10</v>
      </c>
      <c r="B34" s="145">
        <f>4.7</f>
        <v>4.7</v>
      </c>
      <c r="C34" s="145">
        <f>4.7</f>
        <v>4.7</v>
      </c>
      <c r="D34" s="145"/>
    </row>
    <row r="35" spans="1:4">
      <c r="A35" s="10" t="s">
        <v>11</v>
      </c>
      <c r="B35" s="145">
        <f>11.5+4.3</f>
        <v>15.8</v>
      </c>
      <c r="C35" s="145">
        <f>11.2+1.3</f>
        <v>12.5</v>
      </c>
      <c r="D35" s="145"/>
    </row>
    <row r="36" spans="1:4">
      <c r="A36" s="10" t="s">
        <v>12</v>
      </c>
      <c r="B36" s="145">
        <f>50</f>
        <v>50</v>
      </c>
      <c r="C36" s="145">
        <f>50</f>
        <v>50</v>
      </c>
      <c r="D36" s="145"/>
    </row>
    <row r="37" spans="1:4">
      <c r="A37" s="10" t="s">
        <v>28</v>
      </c>
      <c r="B37" s="145">
        <f>8.1+32.2</f>
        <v>40.300000000000004</v>
      </c>
      <c r="C37" s="145"/>
      <c r="D37" s="145"/>
    </row>
    <row r="38" spans="1:4" ht="31.5">
      <c r="A38" s="10" t="s">
        <v>13</v>
      </c>
      <c r="B38" s="145">
        <f>4.5</f>
        <v>4.5</v>
      </c>
      <c r="C38" s="145"/>
      <c r="D38" s="145"/>
    </row>
    <row r="39" spans="1:4">
      <c r="A39" s="10" t="s">
        <v>14</v>
      </c>
      <c r="B39" s="145"/>
      <c r="C39" s="145"/>
      <c r="D39" s="145"/>
    </row>
    <row r="40" spans="1:4">
      <c r="A40" s="10" t="s">
        <v>31</v>
      </c>
      <c r="B40" s="145"/>
      <c r="C40" s="145"/>
      <c r="D40" s="145"/>
    </row>
    <row r="41" spans="1:4">
      <c r="A41" s="10" t="s">
        <v>76</v>
      </c>
      <c r="B41" s="145">
        <f>24.7+4.7+2.2+5</f>
        <v>36.599999999999994</v>
      </c>
      <c r="C41" s="145">
        <f>4.7</f>
        <v>4.7</v>
      </c>
      <c r="D41" s="145"/>
    </row>
    <row r="42" spans="1:4">
      <c r="A42" s="10" t="s">
        <v>15</v>
      </c>
      <c r="B42" s="145"/>
      <c r="C42" s="145"/>
      <c r="D42" s="145"/>
    </row>
    <row r="43" spans="1:4">
      <c r="A43" s="10" t="s">
        <v>16</v>
      </c>
      <c r="B43" s="145"/>
      <c r="C43" s="145"/>
      <c r="D43" s="145"/>
    </row>
    <row r="44" spans="1:4">
      <c r="A44" s="10" t="s">
        <v>17</v>
      </c>
      <c r="B44" s="145">
        <f>1+6</f>
        <v>7</v>
      </c>
      <c r="C44" s="145">
        <f>8.8+13</f>
        <v>21.8</v>
      </c>
      <c r="D44" s="145"/>
    </row>
    <row r="45" spans="1:4">
      <c r="A45" s="10" t="s">
        <v>77</v>
      </c>
      <c r="B45" s="145"/>
      <c r="C45" s="145"/>
      <c r="D45" s="145"/>
    </row>
    <row r="46" spans="1:4">
      <c r="A46" s="10" t="s">
        <v>22</v>
      </c>
      <c r="B46" s="145"/>
      <c r="C46" s="145"/>
      <c r="D46" s="145"/>
    </row>
    <row r="47" spans="1:4">
      <c r="A47" s="10" t="s">
        <v>19</v>
      </c>
      <c r="B47" s="145"/>
      <c r="C47" s="145"/>
      <c r="D47" s="145"/>
    </row>
    <row r="48" spans="1:4">
      <c r="A48" s="10" t="s">
        <v>20</v>
      </c>
      <c r="B48" s="145"/>
      <c r="C48" s="145"/>
      <c r="D48" s="145"/>
    </row>
    <row r="49" spans="1:4" ht="15.75" customHeight="1">
      <c r="A49" s="10" t="s">
        <v>23</v>
      </c>
      <c r="B49" s="145"/>
      <c r="C49" s="145"/>
      <c r="D49" s="145"/>
    </row>
    <row r="50" spans="1:4">
      <c r="A50" s="10" t="s">
        <v>18</v>
      </c>
      <c r="B50" s="145"/>
      <c r="C50" s="145"/>
      <c r="D50" s="145"/>
    </row>
    <row r="51" spans="1:4">
      <c r="A51" s="10" t="s">
        <v>38</v>
      </c>
      <c r="B51" s="145"/>
      <c r="C51" s="145"/>
      <c r="D51" s="145"/>
    </row>
    <row r="52" spans="1:4" ht="31.5">
      <c r="A52" s="10" t="s">
        <v>32</v>
      </c>
      <c r="B52" s="145"/>
      <c r="C52" s="145"/>
      <c r="D52" s="145"/>
    </row>
    <row r="53" spans="1:4">
      <c r="A53" s="10" t="s">
        <v>39</v>
      </c>
      <c r="B53" s="145"/>
      <c r="C53" s="145"/>
      <c r="D53" s="145"/>
    </row>
    <row r="54" spans="1:4">
      <c r="A54" s="10" t="s">
        <v>33</v>
      </c>
      <c r="B54" s="145"/>
      <c r="C54" s="145"/>
      <c r="D54" s="145"/>
    </row>
    <row r="55" spans="1:4">
      <c r="A55" s="10" t="s">
        <v>34</v>
      </c>
      <c r="B55" s="145"/>
      <c r="C55" s="145"/>
      <c r="D55" s="145"/>
    </row>
    <row r="56" spans="1:4">
      <c r="A56" s="10" t="s">
        <v>37</v>
      </c>
      <c r="B56" s="145"/>
      <c r="C56" s="145"/>
      <c r="D56" s="145"/>
    </row>
    <row r="57" spans="1:4" ht="31.5">
      <c r="A57" s="10" t="s">
        <v>35</v>
      </c>
      <c r="B57" s="145"/>
      <c r="C57" s="145"/>
      <c r="D57" s="145"/>
    </row>
    <row r="58" spans="1:4">
      <c r="A58" s="10" t="s">
        <v>36</v>
      </c>
      <c r="B58" s="145"/>
      <c r="C58" s="145"/>
      <c r="D58" s="145"/>
    </row>
    <row r="59" spans="1:4">
      <c r="A59" s="10" t="s">
        <v>30</v>
      </c>
      <c r="B59" s="145"/>
      <c r="C59" s="145"/>
      <c r="D59" s="145"/>
    </row>
    <row r="60" spans="1:4">
      <c r="A60" s="10" t="s">
        <v>78</v>
      </c>
      <c r="B60" s="145"/>
      <c r="C60" s="145"/>
      <c r="D60" s="145"/>
    </row>
    <row r="61" spans="1:4">
      <c r="A61" s="10" t="s">
        <v>21</v>
      </c>
      <c r="B61" s="145">
        <f>10.6+9.1+90.4+7.5</f>
        <v>117.60000000000001</v>
      </c>
      <c r="C61" s="145">
        <f>13.2+19.9+12.8</f>
        <v>45.899999999999991</v>
      </c>
      <c r="D61" s="145">
        <f>7</f>
        <v>7</v>
      </c>
    </row>
    <row r="62" spans="1:4">
      <c r="A62" s="29" t="s">
        <v>79</v>
      </c>
      <c r="B62" s="27">
        <f>B66+B70</f>
        <v>20</v>
      </c>
      <c r="C62" s="27">
        <f>C66+C70</f>
        <v>20</v>
      </c>
      <c r="D62" s="27">
        <f>D66+D70</f>
        <v>0</v>
      </c>
    </row>
    <row r="63" spans="1:4" s="30" customFormat="1">
      <c r="A63" s="10" t="s">
        <v>80</v>
      </c>
      <c r="B63" s="147"/>
      <c r="C63" s="147"/>
      <c r="D63" s="147"/>
    </row>
    <row r="64" spans="1:4">
      <c r="A64" s="10" t="s">
        <v>81</v>
      </c>
      <c r="B64" s="145"/>
      <c r="C64" s="145"/>
      <c r="D64" s="145"/>
    </row>
    <row r="65" spans="1:4">
      <c r="A65" s="10" t="s">
        <v>15</v>
      </c>
      <c r="B65" s="145"/>
      <c r="C65" s="145"/>
      <c r="D65" s="145"/>
    </row>
    <row r="66" spans="1:4">
      <c r="A66" s="10" t="s">
        <v>82</v>
      </c>
      <c r="B66" s="145">
        <v>20</v>
      </c>
      <c r="C66" s="145">
        <v>20</v>
      </c>
      <c r="D66" s="145"/>
    </row>
    <row r="67" spans="1:4">
      <c r="A67" s="10" t="s">
        <v>83</v>
      </c>
      <c r="B67" s="145"/>
      <c r="C67" s="145"/>
      <c r="D67" s="145"/>
    </row>
    <row r="68" spans="1:4">
      <c r="A68" s="10" t="s">
        <v>84</v>
      </c>
      <c r="B68" s="145"/>
      <c r="C68" s="145"/>
      <c r="D68" s="145"/>
    </row>
    <row r="69" spans="1:4">
      <c r="A69" s="10" t="s">
        <v>85</v>
      </c>
      <c r="B69" s="145"/>
      <c r="C69" s="145"/>
      <c r="D69" s="145"/>
    </row>
    <row r="70" spans="1:4">
      <c r="A70" s="10" t="s">
        <v>86</v>
      </c>
      <c r="B70" s="145"/>
      <c r="C70" s="145"/>
      <c r="D70" s="145"/>
    </row>
    <row r="71" spans="1:4">
      <c r="A71" s="29" t="s">
        <v>87</v>
      </c>
      <c r="B71" s="145"/>
      <c r="C71" s="145"/>
      <c r="D71" s="145"/>
    </row>
    <row r="72" spans="1:4" ht="31.5">
      <c r="A72" s="10" t="s">
        <v>88</v>
      </c>
      <c r="B72" s="145"/>
      <c r="C72" s="145"/>
      <c r="D72" s="145"/>
    </row>
    <row r="73" spans="1:4">
      <c r="A73" s="10" t="s">
        <v>89</v>
      </c>
      <c r="B73" s="145"/>
      <c r="C73" s="145"/>
      <c r="D73" s="145"/>
    </row>
    <row r="74" spans="1:4">
      <c r="A74" s="10" t="s">
        <v>90</v>
      </c>
      <c r="B74" s="145"/>
      <c r="C74" s="145"/>
      <c r="D74" s="145"/>
    </row>
    <row r="75" spans="1:4">
      <c r="A75" s="29" t="s">
        <v>91</v>
      </c>
      <c r="B75" s="27">
        <f>B76+B77+B78+B81+B82+B83</f>
        <v>635.40000000000009</v>
      </c>
      <c r="C75" s="27">
        <f>C76+C77+C78+C81+C82+C83</f>
        <v>108</v>
      </c>
      <c r="D75" s="27">
        <f>D76+D77+D78+D81+D82+D83</f>
        <v>2.7</v>
      </c>
    </row>
    <row r="76" spans="1:4">
      <c r="A76" s="9" t="s">
        <v>92</v>
      </c>
      <c r="B76" s="145"/>
      <c r="C76" s="145"/>
      <c r="D76" s="145"/>
    </row>
    <row r="77" spans="1:4">
      <c r="A77" s="9" t="s">
        <v>0</v>
      </c>
      <c r="B77" s="145">
        <f>82.6+8</f>
        <v>90.6</v>
      </c>
      <c r="C77" s="145">
        <f>10+5</f>
        <v>15</v>
      </c>
      <c r="D77" s="145"/>
    </row>
    <row r="78" spans="1:4">
      <c r="A78" s="9" t="s">
        <v>1</v>
      </c>
      <c r="B78" s="145">
        <f>52.3+54.7+0.2</f>
        <v>107.2</v>
      </c>
      <c r="C78" s="145">
        <f>8+30</f>
        <v>38</v>
      </c>
      <c r="D78" s="145"/>
    </row>
    <row r="79" spans="1:4">
      <c r="A79" s="9" t="s">
        <v>93</v>
      </c>
      <c r="B79" s="145"/>
      <c r="C79" s="145"/>
      <c r="D79" s="145"/>
    </row>
    <row r="80" spans="1:4">
      <c r="A80" s="9" t="s">
        <v>26</v>
      </c>
      <c r="B80" s="145"/>
      <c r="C80" s="145"/>
      <c r="D80" s="145"/>
    </row>
    <row r="81" spans="1:4">
      <c r="A81" s="9" t="s">
        <v>2</v>
      </c>
      <c r="B81" s="145">
        <f>12.2+7.8</f>
        <v>20</v>
      </c>
      <c r="C81" s="145">
        <f>15+5</f>
        <v>20</v>
      </c>
      <c r="D81" s="145">
        <f>2.7</f>
        <v>2.7</v>
      </c>
    </row>
    <row r="82" spans="1:4">
      <c r="A82" s="9" t="s">
        <v>94</v>
      </c>
      <c r="B82" s="145">
        <v>57.8</v>
      </c>
      <c r="C82" s="145">
        <f>25+10</f>
        <v>35</v>
      </c>
      <c r="D82" s="145"/>
    </row>
    <row r="83" spans="1:4">
      <c r="A83" s="9" t="s">
        <v>95</v>
      </c>
      <c r="B83" s="145">
        <f>23+104.6+212.9+19.3</f>
        <v>359.8</v>
      </c>
      <c r="C83" s="146"/>
      <c r="D83" s="145"/>
    </row>
    <row r="84" spans="1:4">
      <c r="A84" s="8" t="s">
        <v>96</v>
      </c>
      <c r="B84" s="27"/>
      <c r="C84" s="56"/>
      <c r="D84" s="27"/>
    </row>
    <row r="85" spans="1:4" ht="15.75" customHeight="1">
      <c r="A85" s="10" t="s">
        <v>97</v>
      </c>
      <c r="B85" s="145"/>
      <c r="C85" s="145"/>
      <c r="D85" s="145"/>
    </row>
    <row r="86" spans="1:4">
      <c r="A86" s="10" t="s">
        <v>98</v>
      </c>
      <c r="B86" s="145"/>
      <c r="C86" s="145"/>
      <c r="D86" s="145"/>
    </row>
    <row r="87" spans="1:4">
      <c r="A87" s="10" t="s">
        <v>99</v>
      </c>
      <c r="B87" s="145"/>
      <c r="C87" s="145"/>
      <c r="D87" s="145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1" manualBreakCount="1">
    <brk id="122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FFFF00"/>
  </sheetPr>
  <dimension ref="A1:D199"/>
  <sheetViews>
    <sheetView workbookViewId="0">
      <selection activeCell="D8" sqref="D8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 ht="15.75" customHeight="1">
      <c r="A4" s="191" t="s">
        <v>65</v>
      </c>
      <c r="B4" s="191"/>
      <c r="C4" s="191"/>
      <c r="D4" s="191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90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4" ht="17.25" customHeight="1">
      <c r="A8" s="3">
        <v>1</v>
      </c>
      <c r="B8" s="3">
        <v>2</v>
      </c>
      <c r="C8" s="3">
        <v>3</v>
      </c>
      <c r="D8" s="95">
        <v>4</v>
      </c>
    </row>
    <row r="9" spans="1:4" ht="25.5">
      <c r="A9" s="7" t="s">
        <v>68</v>
      </c>
      <c r="B9" s="48">
        <f>B10+B15+B28+B62+B71+B75+B84</f>
        <v>2259.4999999999995</v>
      </c>
      <c r="C9" s="48">
        <f>C10+C15+C28+C62+C71+C75+C84</f>
        <v>2114.7999999999997</v>
      </c>
      <c r="D9" s="48">
        <f>D10+D15+D28+D62+D71+D75+D84</f>
        <v>222.20000000000002</v>
      </c>
    </row>
    <row r="10" spans="1:4">
      <c r="A10" s="7" t="s">
        <v>69</v>
      </c>
      <c r="B10" s="48"/>
      <c r="C10" s="48"/>
      <c r="D10" s="48"/>
    </row>
    <row r="11" spans="1:4">
      <c r="A11" s="9" t="s">
        <v>70</v>
      </c>
      <c r="B11" s="49"/>
      <c r="C11" s="49"/>
      <c r="D11" s="49"/>
    </row>
    <row r="12" spans="1:4">
      <c r="A12" s="9" t="s">
        <v>27</v>
      </c>
      <c r="B12" s="49"/>
      <c r="C12" s="49"/>
      <c r="D12" s="49"/>
    </row>
    <row r="13" spans="1:4">
      <c r="A13" s="9" t="s">
        <v>71</v>
      </c>
      <c r="B13" s="49"/>
      <c r="C13" s="49"/>
      <c r="D13" s="49"/>
    </row>
    <row r="14" spans="1:4">
      <c r="A14" s="9" t="s">
        <v>5</v>
      </c>
      <c r="B14" s="49"/>
      <c r="C14" s="49"/>
      <c r="D14" s="49"/>
    </row>
    <row r="15" spans="1:4">
      <c r="A15" s="8" t="s">
        <v>72</v>
      </c>
      <c r="B15" s="48">
        <f>SUM(B16:B27)</f>
        <v>1332.5999999999997</v>
      </c>
      <c r="C15" s="48">
        <f>SUM(C16:C27)</f>
        <v>1184.0999999999999</v>
      </c>
      <c r="D15" s="48">
        <f>SUM(D16:D27)</f>
        <v>139.70000000000002</v>
      </c>
    </row>
    <row r="16" spans="1:4" s="6" customFormat="1" ht="31.5">
      <c r="A16" s="9" t="s">
        <v>40</v>
      </c>
      <c r="B16" s="49">
        <v>145.6</v>
      </c>
      <c r="C16" s="49">
        <v>530.4</v>
      </c>
      <c r="D16" s="49">
        <v>2.5</v>
      </c>
    </row>
    <row r="17" spans="1:4" s="6" customFormat="1">
      <c r="A17" s="9" t="s">
        <v>41</v>
      </c>
      <c r="B17" s="51"/>
      <c r="C17" s="51"/>
      <c r="D17" s="51"/>
    </row>
    <row r="18" spans="1:4" ht="18.75" customHeight="1">
      <c r="A18" s="9" t="s">
        <v>6</v>
      </c>
      <c r="B18" s="49">
        <v>941.3</v>
      </c>
      <c r="C18" s="49">
        <v>481.7</v>
      </c>
      <c r="D18" s="49">
        <v>136.4</v>
      </c>
    </row>
    <row r="19" spans="1:4">
      <c r="A19" s="9" t="s">
        <v>29</v>
      </c>
      <c r="B19" s="49"/>
      <c r="C19" s="49"/>
      <c r="D19" s="49"/>
    </row>
    <row r="20" spans="1:4">
      <c r="A20" s="9" t="s">
        <v>15</v>
      </c>
      <c r="B20" s="49"/>
      <c r="C20" s="49"/>
      <c r="D20" s="49"/>
    </row>
    <row r="21" spans="1:4" ht="31.5">
      <c r="A21" s="10" t="s">
        <v>7</v>
      </c>
      <c r="B21" s="49">
        <v>14.8</v>
      </c>
      <c r="C21" s="49"/>
      <c r="D21" s="49"/>
    </row>
    <row r="22" spans="1:4">
      <c r="A22" s="10" t="s">
        <v>8</v>
      </c>
      <c r="B22" s="49">
        <v>3.8</v>
      </c>
      <c r="C22" s="49">
        <v>4.0999999999999996</v>
      </c>
      <c r="D22" s="49"/>
    </row>
    <row r="23" spans="1:4">
      <c r="A23" s="10" t="s">
        <v>73</v>
      </c>
      <c r="B23" s="49">
        <v>12.1</v>
      </c>
      <c r="C23" s="49">
        <v>13.2</v>
      </c>
      <c r="D23" s="49">
        <v>0.8</v>
      </c>
    </row>
    <row r="24" spans="1:4">
      <c r="A24" s="10" t="s">
        <v>74</v>
      </c>
      <c r="B24" s="49">
        <v>0.3</v>
      </c>
      <c r="C24" s="49">
        <v>1</v>
      </c>
      <c r="D24" s="49"/>
    </row>
    <row r="25" spans="1:4">
      <c r="A25" s="10" t="s">
        <v>4</v>
      </c>
      <c r="B25" s="49"/>
      <c r="C25" s="49"/>
      <c r="D25" s="49"/>
    </row>
    <row r="26" spans="1:4">
      <c r="A26" s="10" t="s">
        <v>45</v>
      </c>
      <c r="B26" s="49"/>
      <c r="C26" s="49"/>
      <c r="D26" s="49"/>
    </row>
    <row r="27" spans="1:4">
      <c r="A27" s="11" t="s">
        <v>3</v>
      </c>
      <c r="B27" s="49">
        <v>214.7</v>
      </c>
      <c r="C27" s="49">
        <v>153.69999999999999</v>
      </c>
      <c r="D27" s="49">
        <v>0</v>
      </c>
    </row>
    <row r="28" spans="1:4">
      <c r="A28" s="28" t="s">
        <v>75</v>
      </c>
      <c r="B28" s="48">
        <f>SUM(B29:B61)</f>
        <v>692.9</v>
      </c>
      <c r="C28" s="48">
        <f>SUM(C29:C61)</f>
        <v>733.59999999999991</v>
      </c>
      <c r="D28" s="48">
        <f>SUM(D29:D61)</f>
        <v>82.5</v>
      </c>
    </row>
    <row r="29" spans="1:4" s="6" customFormat="1" ht="31.5">
      <c r="A29" s="10" t="s">
        <v>40</v>
      </c>
      <c r="B29" s="51"/>
      <c r="C29" s="51"/>
      <c r="D29" s="51"/>
    </row>
    <row r="30" spans="1:4" s="6" customFormat="1">
      <c r="A30" s="10" t="s">
        <v>41</v>
      </c>
      <c r="B30" s="51"/>
      <c r="C30" s="51"/>
      <c r="D30" s="51"/>
    </row>
    <row r="31" spans="1:4">
      <c r="A31" s="10" t="s">
        <v>24</v>
      </c>
      <c r="B31" s="49">
        <v>12.6</v>
      </c>
      <c r="C31" s="49">
        <v>15</v>
      </c>
      <c r="D31" s="49"/>
    </row>
    <row r="32" spans="1:4">
      <c r="A32" s="10" t="s">
        <v>9</v>
      </c>
      <c r="B32" s="49">
        <v>249.3</v>
      </c>
      <c r="C32" s="49">
        <v>318.39999999999998</v>
      </c>
      <c r="D32" s="49">
        <v>14.1</v>
      </c>
    </row>
    <row r="33" spans="1:4">
      <c r="A33" s="10" t="s">
        <v>25</v>
      </c>
      <c r="B33" s="49"/>
      <c r="C33" s="49"/>
      <c r="D33" s="49"/>
    </row>
    <row r="34" spans="1:4" ht="17.25" customHeight="1">
      <c r="A34" s="10" t="s">
        <v>10</v>
      </c>
      <c r="B34" s="49">
        <v>18.899999999999999</v>
      </c>
      <c r="C34" s="49">
        <v>20.100000000000001</v>
      </c>
      <c r="D34" s="49">
        <v>7.5</v>
      </c>
    </row>
    <row r="35" spans="1:4">
      <c r="A35" s="10" t="s">
        <v>11</v>
      </c>
      <c r="B35" s="49"/>
      <c r="C35" s="49">
        <v>2.9</v>
      </c>
      <c r="D35" s="49"/>
    </row>
    <row r="36" spans="1:4">
      <c r="A36" s="10" t="s">
        <v>12</v>
      </c>
      <c r="B36" s="49">
        <v>30</v>
      </c>
      <c r="C36" s="49">
        <v>6</v>
      </c>
      <c r="D36" s="49"/>
    </row>
    <row r="37" spans="1:4">
      <c r="A37" s="10" t="s">
        <v>28</v>
      </c>
      <c r="B37" s="49">
        <v>22.1</v>
      </c>
      <c r="C37" s="49">
        <v>23.9</v>
      </c>
      <c r="D37" s="49">
        <v>1.6</v>
      </c>
    </row>
    <row r="38" spans="1:4" ht="31.5">
      <c r="A38" s="10" t="s">
        <v>13</v>
      </c>
      <c r="B38" s="49">
        <v>65</v>
      </c>
      <c r="C38" s="49"/>
      <c r="D38" s="49"/>
    </row>
    <row r="39" spans="1:4">
      <c r="A39" s="10" t="s">
        <v>14</v>
      </c>
      <c r="B39" s="49"/>
      <c r="C39" s="49"/>
      <c r="D39" s="49"/>
    </row>
    <row r="40" spans="1:4">
      <c r="A40" s="10" t="s">
        <v>31</v>
      </c>
      <c r="B40" s="49"/>
      <c r="C40" s="49"/>
      <c r="D40" s="49"/>
    </row>
    <row r="41" spans="1:4">
      <c r="A41" s="10" t="s">
        <v>76</v>
      </c>
      <c r="B41" s="49"/>
      <c r="C41" s="49">
        <v>1.8</v>
      </c>
      <c r="D41" s="49"/>
    </row>
    <row r="42" spans="1:4">
      <c r="A42" s="10" t="s">
        <v>15</v>
      </c>
      <c r="B42" s="49"/>
      <c r="C42" s="49"/>
      <c r="D42" s="49"/>
    </row>
    <row r="43" spans="1:4">
      <c r="A43" s="10" t="s">
        <v>16</v>
      </c>
      <c r="B43" s="49"/>
      <c r="C43" s="49"/>
      <c r="D43" s="49"/>
    </row>
    <row r="44" spans="1:4">
      <c r="A44" s="10" t="s">
        <v>17</v>
      </c>
      <c r="B44" s="49">
        <v>39.4</v>
      </c>
      <c r="C44" s="49">
        <v>42.9</v>
      </c>
      <c r="D44" s="49"/>
    </row>
    <row r="45" spans="1:4">
      <c r="A45" s="10" t="s">
        <v>77</v>
      </c>
      <c r="B45" s="49"/>
      <c r="C45" s="49"/>
      <c r="D45" s="49"/>
    </row>
    <row r="46" spans="1:4">
      <c r="A46" s="10" t="s">
        <v>22</v>
      </c>
      <c r="B46" s="49"/>
      <c r="C46" s="49"/>
      <c r="D46" s="49"/>
    </row>
    <row r="47" spans="1:4">
      <c r="A47" s="10" t="s">
        <v>19</v>
      </c>
      <c r="B47" s="49"/>
      <c r="C47" s="49"/>
      <c r="D47" s="49"/>
    </row>
    <row r="48" spans="1:4">
      <c r="A48" s="10" t="s">
        <v>20</v>
      </c>
      <c r="B48" s="49"/>
      <c r="C48" s="49"/>
      <c r="D48" s="49"/>
    </row>
    <row r="49" spans="1:4" ht="15.75" customHeight="1">
      <c r="A49" s="10" t="s">
        <v>23</v>
      </c>
      <c r="B49" s="49"/>
      <c r="C49" s="49"/>
      <c r="D49" s="49"/>
    </row>
    <row r="50" spans="1:4">
      <c r="A50" s="10" t="s">
        <v>18</v>
      </c>
      <c r="B50" s="49"/>
      <c r="C50" s="49"/>
      <c r="D50" s="49"/>
    </row>
    <row r="51" spans="1:4">
      <c r="A51" s="10" t="s">
        <v>38</v>
      </c>
      <c r="B51" s="49"/>
      <c r="C51" s="49"/>
      <c r="D51" s="49"/>
    </row>
    <row r="52" spans="1:4" ht="31.5">
      <c r="A52" s="10" t="s">
        <v>32</v>
      </c>
      <c r="B52" s="49"/>
      <c r="C52" s="49"/>
      <c r="D52" s="49"/>
    </row>
    <row r="53" spans="1:4">
      <c r="A53" s="10" t="s">
        <v>39</v>
      </c>
      <c r="B53" s="49"/>
      <c r="C53" s="49"/>
      <c r="D53" s="49"/>
    </row>
    <row r="54" spans="1:4">
      <c r="A54" s="10" t="s">
        <v>33</v>
      </c>
      <c r="B54" s="49"/>
      <c r="C54" s="49"/>
      <c r="D54" s="49"/>
    </row>
    <row r="55" spans="1:4">
      <c r="A55" s="10" t="s">
        <v>34</v>
      </c>
      <c r="B55" s="49"/>
      <c r="C55" s="49"/>
      <c r="D55" s="49"/>
    </row>
    <row r="56" spans="1:4">
      <c r="A56" s="10" t="s">
        <v>37</v>
      </c>
      <c r="B56" s="49"/>
      <c r="C56" s="49"/>
      <c r="D56" s="49"/>
    </row>
    <row r="57" spans="1:4" ht="31.5">
      <c r="A57" s="10" t="s">
        <v>35</v>
      </c>
      <c r="B57" s="49"/>
      <c r="C57" s="49"/>
      <c r="D57" s="49"/>
    </row>
    <row r="58" spans="1:4">
      <c r="A58" s="10" t="s">
        <v>36</v>
      </c>
      <c r="B58" s="49"/>
      <c r="C58" s="49"/>
      <c r="D58" s="49"/>
    </row>
    <row r="59" spans="1:4">
      <c r="A59" s="10" t="s">
        <v>30</v>
      </c>
      <c r="B59" s="49">
        <v>11</v>
      </c>
      <c r="C59" s="49"/>
      <c r="D59" s="49"/>
    </row>
    <row r="60" spans="1:4">
      <c r="A60" s="10" t="s">
        <v>78</v>
      </c>
      <c r="B60" s="49">
        <v>35.5</v>
      </c>
      <c r="C60" s="49"/>
      <c r="D60" s="49"/>
    </row>
    <row r="61" spans="1:4">
      <c r="A61" s="10" t="s">
        <v>21</v>
      </c>
      <c r="B61" s="49">
        <v>209.1</v>
      </c>
      <c r="C61" s="49">
        <v>302.60000000000002</v>
      </c>
      <c r="D61" s="49">
        <v>59.3</v>
      </c>
    </row>
    <row r="62" spans="1:4">
      <c r="A62" s="29" t="s">
        <v>79</v>
      </c>
      <c r="B62" s="48">
        <f>SUM(B63:B70)</f>
        <v>20</v>
      </c>
      <c r="C62" s="48">
        <f>SUM(C63:C70)</f>
        <v>20</v>
      </c>
      <c r="D62" s="48">
        <f>SUM(D63:D70)</f>
        <v>0</v>
      </c>
    </row>
    <row r="63" spans="1:4" s="30" customFormat="1">
      <c r="A63" s="10" t="s">
        <v>80</v>
      </c>
      <c r="B63" s="49"/>
      <c r="C63" s="49"/>
      <c r="D63" s="49"/>
    </row>
    <row r="64" spans="1:4">
      <c r="A64" s="10" t="s">
        <v>81</v>
      </c>
      <c r="B64" s="49"/>
      <c r="C64" s="49"/>
      <c r="D64" s="49"/>
    </row>
    <row r="65" spans="1:4">
      <c r="A65" s="10" t="s">
        <v>15</v>
      </c>
      <c r="B65" s="49"/>
      <c r="C65" s="49"/>
      <c r="D65" s="49"/>
    </row>
    <row r="66" spans="1:4">
      <c r="A66" s="10" t="s">
        <v>82</v>
      </c>
      <c r="B66" s="49">
        <v>20</v>
      </c>
      <c r="C66" s="49">
        <v>20</v>
      </c>
      <c r="D66" s="49"/>
    </row>
    <row r="67" spans="1:4">
      <c r="A67" s="10" t="s">
        <v>83</v>
      </c>
      <c r="B67" s="49"/>
      <c r="C67" s="49"/>
      <c r="D67" s="49"/>
    </row>
    <row r="68" spans="1:4">
      <c r="A68" s="10" t="s">
        <v>84</v>
      </c>
      <c r="B68" s="49"/>
      <c r="C68" s="49"/>
      <c r="D68" s="49"/>
    </row>
    <row r="69" spans="1:4">
      <c r="A69" s="10" t="s">
        <v>85</v>
      </c>
      <c r="B69" s="49"/>
      <c r="C69" s="49"/>
      <c r="D69" s="49"/>
    </row>
    <row r="70" spans="1:4">
      <c r="A70" s="10" t="s">
        <v>86</v>
      </c>
      <c r="B70" s="49"/>
      <c r="C70" s="49"/>
      <c r="D70" s="49"/>
    </row>
    <row r="71" spans="1:4">
      <c r="A71" s="29" t="s">
        <v>87</v>
      </c>
      <c r="B71" s="49"/>
      <c r="C71" s="49"/>
      <c r="D71" s="49"/>
    </row>
    <row r="72" spans="1:4" ht="31.5">
      <c r="A72" s="10" t="s">
        <v>88</v>
      </c>
      <c r="B72" s="49"/>
      <c r="C72" s="49"/>
      <c r="D72" s="49"/>
    </row>
    <row r="73" spans="1:4">
      <c r="A73" s="10" t="s">
        <v>89</v>
      </c>
      <c r="B73" s="49"/>
      <c r="C73" s="49"/>
      <c r="D73" s="49"/>
    </row>
    <row r="74" spans="1:4">
      <c r="A74" s="10" t="s">
        <v>90</v>
      </c>
      <c r="B74" s="49"/>
      <c r="C74" s="49"/>
      <c r="D74" s="49"/>
    </row>
    <row r="75" spans="1:4">
      <c r="A75" s="29" t="s">
        <v>91</v>
      </c>
      <c r="B75" s="48">
        <f>SUM(B76:B83)</f>
        <v>214</v>
      </c>
      <c r="C75" s="48">
        <f>SUM(C76:C83)</f>
        <v>177.1</v>
      </c>
      <c r="D75" s="48">
        <f>SUM(D76:D83)</f>
        <v>0</v>
      </c>
    </row>
    <row r="76" spans="1:4">
      <c r="A76" s="9" t="s">
        <v>92</v>
      </c>
      <c r="B76" s="49">
        <v>29.3</v>
      </c>
      <c r="C76" s="49">
        <v>17.3</v>
      </c>
      <c r="D76" s="49"/>
    </row>
    <row r="77" spans="1:4">
      <c r="A77" s="9" t="s">
        <v>0</v>
      </c>
      <c r="B77" s="49">
        <v>9.3000000000000007</v>
      </c>
      <c r="C77" s="49">
        <v>9.8000000000000007</v>
      </c>
      <c r="D77" s="49"/>
    </row>
    <row r="78" spans="1:4">
      <c r="A78" s="9" t="s">
        <v>1</v>
      </c>
      <c r="B78" s="49">
        <v>71.8</v>
      </c>
      <c r="C78" s="49">
        <v>34.5</v>
      </c>
      <c r="D78" s="49"/>
    </row>
    <row r="79" spans="1:4">
      <c r="A79" s="9" t="s">
        <v>93</v>
      </c>
      <c r="B79" s="49"/>
      <c r="C79" s="49"/>
      <c r="D79" s="49"/>
    </row>
    <row r="80" spans="1:4">
      <c r="A80" s="9" t="s">
        <v>26</v>
      </c>
      <c r="B80" s="49"/>
      <c r="C80" s="49"/>
      <c r="D80" s="49"/>
    </row>
    <row r="81" spans="1:4">
      <c r="A81" s="9" t="s">
        <v>2</v>
      </c>
      <c r="B81" s="49">
        <v>82.8</v>
      </c>
      <c r="C81" s="49">
        <v>110.9</v>
      </c>
      <c r="D81" s="49"/>
    </row>
    <row r="82" spans="1:4">
      <c r="A82" s="9" t="s">
        <v>94</v>
      </c>
      <c r="B82" s="49"/>
      <c r="C82" s="49"/>
      <c r="D82" s="49"/>
    </row>
    <row r="83" spans="1:4">
      <c r="A83" s="9" t="s">
        <v>95</v>
      </c>
      <c r="B83" s="49">
        <v>20.8</v>
      </c>
      <c r="C83" s="52">
        <v>4.5999999999999996</v>
      </c>
      <c r="D83" s="49"/>
    </row>
    <row r="84" spans="1:4">
      <c r="A84" s="8" t="s">
        <v>96</v>
      </c>
      <c r="B84" s="50"/>
      <c r="C84" s="50"/>
      <c r="D84" s="50"/>
    </row>
    <row r="85" spans="1:4" ht="15.75" customHeight="1">
      <c r="A85" s="10" t="s">
        <v>97</v>
      </c>
      <c r="B85" s="49"/>
      <c r="C85" s="49"/>
      <c r="D85" s="49"/>
    </row>
    <row r="86" spans="1:4">
      <c r="A86" s="10" t="s">
        <v>98</v>
      </c>
      <c r="B86" s="49"/>
      <c r="C86" s="49"/>
      <c r="D86" s="49"/>
    </row>
    <row r="87" spans="1:4">
      <c r="A87" s="10" t="s">
        <v>99</v>
      </c>
      <c r="B87" s="49"/>
      <c r="C87" s="49"/>
      <c r="D87" s="49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tabColor rgb="FFFFFF00"/>
  </sheetPr>
  <dimension ref="A1:D199"/>
  <sheetViews>
    <sheetView topLeftCell="A25" workbookViewId="0">
      <selection activeCell="D40" sqref="D40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 ht="15.75" customHeight="1">
      <c r="A4" s="191" t="s">
        <v>65</v>
      </c>
      <c r="B4" s="191"/>
      <c r="C4" s="191"/>
      <c r="D4" s="191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90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4" ht="13.5" customHeight="1">
      <c r="A8" s="3">
        <v>1</v>
      </c>
      <c r="B8" s="3">
        <v>2</v>
      </c>
      <c r="C8" s="3">
        <v>3</v>
      </c>
      <c r="D8" s="95">
        <v>4</v>
      </c>
    </row>
    <row r="9" spans="1:4" ht="25.5">
      <c r="A9" s="7" t="s">
        <v>68</v>
      </c>
      <c r="B9" s="144">
        <f>B10+B15+B28+B62+B71+B75+B84</f>
        <v>1724.8</v>
      </c>
      <c r="C9" s="144">
        <f>C10+C15+C28+C62+C71+C75+C84</f>
        <v>1304.4999999999998</v>
      </c>
      <c r="D9" s="144">
        <f>D10+D15+D28+D62+D71+D75+D84</f>
        <v>71.399999999999991</v>
      </c>
    </row>
    <row r="10" spans="1:4">
      <c r="A10" s="7" t="s">
        <v>69</v>
      </c>
      <c r="B10" s="144">
        <f>B14</f>
        <v>20.399999999999999</v>
      </c>
      <c r="C10" s="144">
        <f>C14</f>
        <v>19.100000000000001</v>
      </c>
      <c r="D10" s="144"/>
    </row>
    <row r="11" spans="1:4">
      <c r="A11" s="9" t="s">
        <v>70</v>
      </c>
      <c r="B11" s="145"/>
      <c r="C11" s="145"/>
      <c r="D11" s="145"/>
    </row>
    <row r="12" spans="1:4">
      <c r="A12" s="9" t="s">
        <v>27</v>
      </c>
      <c r="B12" s="145"/>
      <c r="C12" s="145"/>
      <c r="D12" s="145"/>
    </row>
    <row r="13" spans="1:4">
      <c r="A13" s="9" t="s">
        <v>71</v>
      </c>
      <c r="B13" s="145"/>
      <c r="C13" s="145"/>
      <c r="D13" s="145"/>
    </row>
    <row r="14" spans="1:4">
      <c r="A14" s="9" t="s">
        <v>5</v>
      </c>
      <c r="B14" s="145">
        <v>20.399999999999999</v>
      </c>
      <c r="C14" s="145">
        <v>19.100000000000001</v>
      </c>
      <c r="D14" s="145"/>
    </row>
    <row r="15" spans="1:4">
      <c r="A15" s="8" t="s">
        <v>72</v>
      </c>
      <c r="B15" s="27">
        <f>SUM(B16:B27)</f>
        <v>685.6</v>
      </c>
      <c r="C15" s="27">
        <f>SUM(C16:C27)</f>
        <v>744</v>
      </c>
      <c r="D15" s="27">
        <f>SUM(D16:D27)</f>
        <v>60.5</v>
      </c>
    </row>
    <row r="16" spans="1:4" s="6" customFormat="1" ht="31.5">
      <c r="A16" s="9" t="s">
        <v>40</v>
      </c>
      <c r="B16" s="145">
        <v>42.7</v>
      </c>
      <c r="C16" s="145">
        <v>39.700000000000003</v>
      </c>
      <c r="D16" s="145">
        <v>2.9</v>
      </c>
    </row>
    <row r="17" spans="1:4" s="6" customFormat="1">
      <c r="A17" s="9" t="s">
        <v>41</v>
      </c>
      <c r="B17" s="27"/>
      <c r="C17" s="27"/>
      <c r="D17" s="27"/>
    </row>
    <row r="18" spans="1:4" ht="18.75" customHeight="1">
      <c r="A18" s="9" t="s">
        <v>6</v>
      </c>
      <c r="B18" s="145">
        <v>417.1</v>
      </c>
      <c r="C18" s="145">
        <v>475.3</v>
      </c>
      <c r="D18" s="145">
        <v>49.7</v>
      </c>
    </row>
    <row r="19" spans="1:4">
      <c r="A19" s="9" t="s">
        <v>29</v>
      </c>
      <c r="B19" s="145"/>
      <c r="C19" s="145"/>
      <c r="D19" s="145"/>
    </row>
    <row r="20" spans="1:4">
      <c r="A20" s="9" t="s">
        <v>15</v>
      </c>
      <c r="B20" s="145"/>
      <c r="C20" s="145"/>
      <c r="D20" s="145"/>
    </row>
    <row r="21" spans="1:4" ht="31.5">
      <c r="A21" s="10" t="s">
        <v>7</v>
      </c>
      <c r="B21" s="145">
        <v>3.8</v>
      </c>
      <c r="C21" s="145"/>
      <c r="D21" s="145"/>
    </row>
    <row r="22" spans="1:4">
      <c r="A22" s="10" t="s">
        <v>8</v>
      </c>
      <c r="B22" s="145">
        <v>2.8</v>
      </c>
      <c r="C22" s="145">
        <v>2.9</v>
      </c>
      <c r="D22" s="145"/>
    </row>
    <row r="23" spans="1:4">
      <c r="A23" s="10" t="s">
        <v>73</v>
      </c>
      <c r="B23" s="145">
        <v>13.3</v>
      </c>
      <c r="C23" s="145">
        <v>22</v>
      </c>
      <c r="D23" s="145"/>
    </row>
    <row r="24" spans="1:4">
      <c r="A24" s="10" t="s">
        <v>74</v>
      </c>
      <c r="B24" s="145"/>
      <c r="C24" s="145"/>
      <c r="D24" s="145"/>
    </row>
    <row r="25" spans="1:4">
      <c r="A25" s="10" t="s">
        <v>4</v>
      </c>
      <c r="B25" s="145"/>
      <c r="C25" s="145"/>
      <c r="D25" s="145"/>
    </row>
    <row r="26" spans="1:4">
      <c r="A26" s="10" t="s">
        <v>45</v>
      </c>
      <c r="B26" s="145"/>
      <c r="C26" s="145"/>
      <c r="D26" s="145"/>
    </row>
    <row r="27" spans="1:4">
      <c r="A27" s="11" t="s">
        <v>3</v>
      </c>
      <c r="B27" s="145">
        <v>205.9</v>
      </c>
      <c r="C27" s="145">
        <v>204.1</v>
      </c>
      <c r="D27" s="145">
        <v>7.9</v>
      </c>
    </row>
    <row r="28" spans="1:4">
      <c r="A28" s="28" t="s">
        <v>75</v>
      </c>
      <c r="B28" s="27">
        <f>SUM(B29:B61)</f>
        <v>252.1</v>
      </c>
      <c r="C28" s="27">
        <f>SUM(C29:C61)</f>
        <v>267</v>
      </c>
      <c r="D28" s="27">
        <f>SUM(D29:D61)</f>
        <v>9.1</v>
      </c>
    </row>
    <row r="29" spans="1:4" s="6" customFormat="1" ht="31.5">
      <c r="A29" s="10" t="s">
        <v>40</v>
      </c>
      <c r="B29" s="145"/>
      <c r="C29" s="145"/>
      <c r="D29" s="145"/>
    </row>
    <row r="30" spans="1:4" s="6" customFormat="1">
      <c r="A30" s="10" t="s">
        <v>41</v>
      </c>
      <c r="B30" s="27"/>
      <c r="C30" s="27"/>
      <c r="D30" s="27"/>
    </row>
    <row r="31" spans="1:4">
      <c r="A31" s="10" t="s">
        <v>24</v>
      </c>
      <c r="B31" s="145"/>
      <c r="C31" s="145"/>
      <c r="D31" s="145"/>
    </row>
    <row r="32" spans="1:4">
      <c r="A32" s="10" t="s">
        <v>9</v>
      </c>
      <c r="B32" s="145">
        <v>143.30000000000001</v>
      </c>
      <c r="C32" s="145">
        <v>150.69999999999999</v>
      </c>
      <c r="D32" s="145">
        <v>9.1</v>
      </c>
    </row>
    <row r="33" spans="1:4">
      <c r="A33" s="10" t="s">
        <v>25</v>
      </c>
      <c r="B33" s="145"/>
      <c r="C33" s="145"/>
      <c r="D33" s="145"/>
    </row>
    <row r="34" spans="1:4" ht="17.25" customHeight="1">
      <c r="A34" s="10" t="s">
        <v>10</v>
      </c>
      <c r="B34" s="145">
        <v>14.2</v>
      </c>
      <c r="C34" s="145">
        <v>39.299999999999997</v>
      </c>
      <c r="D34" s="145"/>
    </row>
    <row r="35" spans="1:4">
      <c r="A35" s="10" t="s">
        <v>11</v>
      </c>
      <c r="B35" s="145">
        <v>4.3</v>
      </c>
      <c r="C35" s="145">
        <v>4.5</v>
      </c>
      <c r="D35" s="145"/>
    </row>
    <row r="36" spans="1:4">
      <c r="A36" s="10" t="s">
        <v>12</v>
      </c>
      <c r="B36" s="145">
        <v>5</v>
      </c>
      <c r="C36" s="145">
        <v>2.5</v>
      </c>
      <c r="D36" s="145"/>
    </row>
    <row r="37" spans="1:4">
      <c r="A37" s="10" t="s">
        <v>28</v>
      </c>
      <c r="B37" s="145"/>
      <c r="C37" s="145"/>
      <c r="D37" s="145"/>
    </row>
    <row r="38" spans="1:4" ht="31.5">
      <c r="A38" s="10" t="s">
        <v>13</v>
      </c>
      <c r="B38" s="145"/>
      <c r="C38" s="145"/>
      <c r="D38" s="145"/>
    </row>
    <row r="39" spans="1:4">
      <c r="A39" s="10" t="s">
        <v>14</v>
      </c>
      <c r="B39" s="145"/>
      <c r="C39" s="145"/>
      <c r="D39" s="145"/>
    </row>
    <row r="40" spans="1:4">
      <c r="A40" s="10" t="s">
        <v>31</v>
      </c>
      <c r="B40" s="145"/>
      <c r="C40" s="145"/>
      <c r="D40" s="145"/>
    </row>
    <row r="41" spans="1:4">
      <c r="A41" s="10" t="s">
        <v>76</v>
      </c>
      <c r="B41" s="145"/>
      <c r="C41" s="145"/>
      <c r="D41" s="145"/>
    </row>
    <row r="42" spans="1:4">
      <c r="A42" s="10" t="s">
        <v>15</v>
      </c>
      <c r="B42" s="145"/>
      <c r="C42" s="145"/>
      <c r="D42" s="145"/>
    </row>
    <row r="43" spans="1:4">
      <c r="A43" s="10" t="s">
        <v>16</v>
      </c>
      <c r="B43" s="145"/>
      <c r="C43" s="145"/>
      <c r="D43" s="145"/>
    </row>
    <row r="44" spans="1:4">
      <c r="A44" s="10" t="s">
        <v>17</v>
      </c>
      <c r="B44" s="99">
        <v>34.6</v>
      </c>
      <c r="C44" s="145">
        <v>28.3</v>
      </c>
      <c r="D44" s="99"/>
    </row>
    <row r="45" spans="1:4">
      <c r="A45" s="10" t="s">
        <v>77</v>
      </c>
      <c r="B45" s="145"/>
      <c r="C45" s="145"/>
      <c r="D45" s="145"/>
    </row>
    <row r="46" spans="1:4">
      <c r="A46" s="10" t="s">
        <v>22</v>
      </c>
      <c r="B46" s="145"/>
      <c r="C46" s="145"/>
      <c r="D46" s="145"/>
    </row>
    <row r="47" spans="1:4">
      <c r="A47" s="10" t="s">
        <v>19</v>
      </c>
      <c r="B47" s="145"/>
      <c r="C47" s="145"/>
      <c r="D47" s="145"/>
    </row>
    <row r="48" spans="1:4">
      <c r="A48" s="10" t="s">
        <v>20</v>
      </c>
      <c r="B48" s="145"/>
      <c r="C48" s="145"/>
      <c r="D48" s="145"/>
    </row>
    <row r="49" spans="1:4" ht="15.75" customHeight="1">
      <c r="A49" s="10" t="s">
        <v>23</v>
      </c>
      <c r="B49" s="145"/>
      <c r="C49" s="145"/>
      <c r="D49" s="145"/>
    </row>
    <row r="50" spans="1:4">
      <c r="A50" s="10" t="s">
        <v>18</v>
      </c>
      <c r="B50" s="145"/>
      <c r="C50" s="145"/>
      <c r="D50" s="145"/>
    </row>
    <row r="51" spans="1:4">
      <c r="A51" s="10" t="s">
        <v>38</v>
      </c>
      <c r="B51" s="145"/>
      <c r="C51" s="145"/>
      <c r="D51" s="145"/>
    </row>
    <row r="52" spans="1:4" ht="31.5">
      <c r="A52" s="10" t="s">
        <v>32</v>
      </c>
      <c r="B52" s="145"/>
      <c r="C52" s="145"/>
      <c r="D52" s="145"/>
    </row>
    <row r="53" spans="1:4">
      <c r="A53" s="10" t="s">
        <v>39</v>
      </c>
      <c r="B53" s="145"/>
      <c r="C53" s="145"/>
      <c r="D53" s="145"/>
    </row>
    <row r="54" spans="1:4">
      <c r="A54" s="10" t="s">
        <v>33</v>
      </c>
      <c r="B54" s="145"/>
      <c r="C54" s="145"/>
      <c r="D54" s="145"/>
    </row>
    <row r="55" spans="1:4">
      <c r="A55" s="10" t="s">
        <v>34</v>
      </c>
      <c r="B55" s="145">
        <v>3.2</v>
      </c>
      <c r="C55" s="145">
        <v>6.8</v>
      </c>
      <c r="D55" s="145"/>
    </row>
    <row r="56" spans="1:4">
      <c r="A56" s="10" t="s">
        <v>37</v>
      </c>
      <c r="B56" s="145"/>
      <c r="C56" s="145"/>
      <c r="D56" s="145"/>
    </row>
    <row r="57" spans="1:4" ht="31.5">
      <c r="A57" s="10" t="s">
        <v>35</v>
      </c>
      <c r="B57" s="145"/>
      <c r="C57" s="145"/>
      <c r="D57" s="145"/>
    </row>
    <row r="58" spans="1:4">
      <c r="A58" s="10" t="s">
        <v>36</v>
      </c>
      <c r="B58" s="145"/>
      <c r="C58" s="145"/>
      <c r="D58" s="145"/>
    </row>
    <row r="59" spans="1:4">
      <c r="A59" s="10" t="s">
        <v>30</v>
      </c>
      <c r="B59" s="145"/>
      <c r="C59" s="145"/>
      <c r="D59" s="145"/>
    </row>
    <row r="60" spans="1:4">
      <c r="A60" s="10" t="s">
        <v>78</v>
      </c>
      <c r="B60" s="145">
        <v>0.5</v>
      </c>
      <c r="C60" s="145">
        <v>1.4</v>
      </c>
      <c r="D60" s="145"/>
    </row>
    <row r="61" spans="1:4">
      <c r="A61" s="10" t="s">
        <v>21</v>
      </c>
      <c r="B61" s="145">
        <v>47</v>
      </c>
      <c r="C61" s="145">
        <v>33.5</v>
      </c>
      <c r="D61" s="145"/>
    </row>
    <row r="62" spans="1:4">
      <c r="A62" s="29" t="s">
        <v>79</v>
      </c>
      <c r="B62" s="27">
        <f>SUM(B63:B70)</f>
        <v>35.299999999999997</v>
      </c>
      <c r="C62" s="27">
        <f>SUM(C63:C70)</f>
        <v>41.1</v>
      </c>
      <c r="D62" s="27"/>
    </row>
    <row r="63" spans="1:4" s="30" customFormat="1">
      <c r="A63" s="10" t="s">
        <v>80</v>
      </c>
      <c r="B63" s="147"/>
      <c r="C63" s="145"/>
      <c r="D63" s="147"/>
    </row>
    <row r="64" spans="1:4">
      <c r="A64" s="10" t="s">
        <v>81</v>
      </c>
      <c r="B64" s="145"/>
      <c r="C64" s="145"/>
      <c r="D64" s="145"/>
    </row>
    <row r="65" spans="1:4">
      <c r="A65" s="10" t="s">
        <v>15</v>
      </c>
      <c r="B65" s="145"/>
      <c r="C65" s="145"/>
      <c r="D65" s="145"/>
    </row>
    <row r="66" spans="1:4">
      <c r="A66" s="10" t="s">
        <v>82</v>
      </c>
      <c r="B66" s="145">
        <v>20</v>
      </c>
      <c r="C66" s="145">
        <v>20</v>
      </c>
      <c r="D66" s="145"/>
    </row>
    <row r="67" spans="1:4">
      <c r="A67" s="10" t="s">
        <v>83</v>
      </c>
      <c r="B67" s="145"/>
      <c r="C67" s="145"/>
      <c r="D67" s="145"/>
    </row>
    <row r="68" spans="1:4">
      <c r="A68" s="10" t="s">
        <v>84</v>
      </c>
      <c r="B68" s="145">
        <v>2.7</v>
      </c>
      <c r="C68" s="145">
        <v>0.1</v>
      </c>
      <c r="D68" s="145"/>
    </row>
    <row r="69" spans="1:4">
      <c r="A69" s="10" t="s">
        <v>85</v>
      </c>
      <c r="B69" s="145"/>
      <c r="C69" s="145"/>
      <c r="D69" s="145"/>
    </row>
    <row r="70" spans="1:4">
      <c r="A70" s="10" t="s">
        <v>86</v>
      </c>
      <c r="B70" s="145">
        <v>12.6</v>
      </c>
      <c r="C70" s="145">
        <v>21</v>
      </c>
      <c r="D70" s="145"/>
    </row>
    <row r="71" spans="1:4">
      <c r="A71" s="29" t="s">
        <v>87</v>
      </c>
      <c r="B71" s="145"/>
      <c r="C71" s="145"/>
      <c r="D71" s="145"/>
    </row>
    <row r="72" spans="1:4" ht="31.5">
      <c r="A72" s="10" t="s">
        <v>88</v>
      </c>
      <c r="B72" s="145"/>
      <c r="C72" s="145"/>
      <c r="D72" s="145"/>
    </row>
    <row r="73" spans="1:4">
      <c r="A73" s="10" t="s">
        <v>89</v>
      </c>
      <c r="B73" s="145"/>
      <c r="C73" s="145"/>
      <c r="D73" s="145"/>
    </row>
    <row r="74" spans="1:4">
      <c r="A74" s="10" t="s">
        <v>90</v>
      </c>
      <c r="B74" s="145"/>
      <c r="C74" s="145"/>
      <c r="D74" s="145"/>
    </row>
    <row r="75" spans="1:4">
      <c r="A75" s="29" t="s">
        <v>91</v>
      </c>
      <c r="B75" s="27">
        <f>SUM(B76:B83)</f>
        <v>731.4</v>
      </c>
      <c r="C75" s="27">
        <f>SUM(C76:C83)</f>
        <v>233.29999999999998</v>
      </c>
      <c r="D75" s="27">
        <f>SUM(D76:D83)</f>
        <v>1.8</v>
      </c>
    </row>
    <row r="76" spans="1:4">
      <c r="A76" s="9" t="s">
        <v>92</v>
      </c>
      <c r="B76" s="145">
        <v>31.1</v>
      </c>
      <c r="C76" s="145">
        <v>31.2</v>
      </c>
      <c r="D76" s="145"/>
    </row>
    <row r="77" spans="1:4">
      <c r="A77" s="9" t="s">
        <v>0</v>
      </c>
      <c r="B77" s="145">
        <v>14.1</v>
      </c>
      <c r="C77" s="145">
        <v>19</v>
      </c>
      <c r="D77" s="145"/>
    </row>
    <row r="78" spans="1:4">
      <c r="A78" s="9" t="s">
        <v>1</v>
      </c>
      <c r="B78" s="145">
        <v>101.9</v>
      </c>
      <c r="C78" s="145">
        <v>90</v>
      </c>
      <c r="D78" s="145"/>
    </row>
    <row r="79" spans="1:4">
      <c r="A79" s="9" t="s">
        <v>93</v>
      </c>
      <c r="B79" s="145"/>
      <c r="C79" s="145"/>
      <c r="D79" s="145"/>
    </row>
    <row r="80" spans="1:4">
      <c r="A80" s="9" t="s">
        <v>26</v>
      </c>
      <c r="B80" s="145"/>
      <c r="C80" s="145"/>
      <c r="D80" s="145"/>
    </row>
    <row r="81" spans="1:4">
      <c r="A81" s="9" t="s">
        <v>2</v>
      </c>
      <c r="B81" s="145">
        <v>236.9</v>
      </c>
      <c r="C81" s="145">
        <v>42.7</v>
      </c>
      <c r="D81" s="145">
        <v>1.8</v>
      </c>
    </row>
    <row r="82" spans="1:4">
      <c r="A82" s="9" t="s">
        <v>94</v>
      </c>
      <c r="B82" s="145">
        <v>13.5</v>
      </c>
      <c r="C82" s="145"/>
      <c r="D82" s="145"/>
    </row>
    <row r="83" spans="1:4">
      <c r="A83" s="9" t="s">
        <v>95</v>
      </c>
      <c r="B83" s="145">
        <v>333.9</v>
      </c>
      <c r="C83" s="146">
        <v>50.4</v>
      </c>
      <c r="D83" s="145"/>
    </row>
    <row r="84" spans="1:4">
      <c r="A84" s="8" t="s">
        <v>96</v>
      </c>
      <c r="B84" s="146"/>
      <c r="C84" s="146"/>
      <c r="D84" s="146"/>
    </row>
    <row r="85" spans="1:4" ht="15.75" customHeight="1">
      <c r="A85" s="10" t="s">
        <v>97</v>
      </c>
      <c r="B85" s="145"/>
      <c r="C85" s="145"/>
      <c r="D85" s="145"/>
    </row>
    <row r="86" spans="1:4">
      <c r="A86" s="10" t="s">
        <v>98</v>
      </c>
      <c r="B86" s="145"/>
      <c r="C86" s="145"/>
      <c r="D86" s="145"/>
    </row>
    <row r="87" spans="1:4">
      <c r="A87" s="10" t="s">
        <v>99</v>
      </c>
      <c r="B87" s="145"/>
      <c r="C87" s="145"/>
      <c r="D87" s="145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>
    <tabColor rgb="FFFFFF00"/>
  </sheetPr>
  <dimension ref="A1:D199"/>
  <sheetViews>
    <sheetView view="pageBreakPreview" topLeftCell="A31" zoomScaleSheetLayoutView="100" workbookViewId="0">
      <selection activeCell="D40" sqref="D40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 ht="15.75" customHeight="1">
      <c r="A4" s="191" t="s">
        <v>65</v>
      </c>
      <c r="B4" s="191"/>
      <c r="C4" s="191"/>
      <c r="D4" s="191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90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4" ht="19.5" customHeight="1">
      <c r="A8" s="3">
        <v>1</v>
      </c>
      <c r="B8" s="3">
        <v>2</v>
      </c>
      <c r="C8" s="3">
        <v>3</v>
      </c>
      <c r="D8" s="95">
        <v>4</v>
      </c>
    </row>
    <row r="9" spans="1:4" ht="25.5">
      <c r="A9" s="7" t="s">
        <v>68</v>
      </c>
      <c r="B9" s="144">
        <f>SUM(B10:B87)</f>
        <v>1901.1999999999998</v>
      </c>
      <c r="C9" s="144">
        <f>SUM(C10:C87)</f>
        <v>1374.4</v>
      </c>
      <c r="D9" s="144">
        <f>SUM(D10:D87)</f>
        <v>256.39999999999998</v>
      </c>
    </row>
    <row r="10" spans="1:4">
      <c r="A10" s="7" t="s">
        <v>69</v>
      </c>
      <c r="B10" s="144"/>
      <c r="C10" s="144"/>
      <c r="D10" s="144"/>
    </row>
    <row r="11" spans="1:4">
      <c r="A11" s="9" t="s">
        <v>70</v>
      </c>
      <c r="B11" s="145"/>
      <c r="C11" s="145"/>
      <c r="D11" s="145"/>
    </row>
    <row r="12" spans="1:4">
      <c r="A12" s="9" t="s">
        <v>27</v>
      </c>
      <c r="B12" s="145"/>
      <c r="C12" s="145"/>
      <c r="D12" s="145"/>
    </row>
    <row r="13" spans="1:4">
      <c r="A13" s="9" t="s">
        <v>71</v>
      </c>
      <c r="B13" s="145"/>
      <c r="C13" s="145"/>
      <c r="D13" s="145"/>
    </row>
    <row r="14" spans="1:4">
      <c r="A14" s="9" t="s">
        <v>5</v>
      </c>
      <c r="B14" s="145"/>
      <c r="C14" s="145"/>
      <c r="D14" s="145"/>
    </row>
    <row r="15" spans="1:4">
      <c r="A15" s="8" t="s">
        <v>72</v>
      </c>
      <c r="B15" s="145"/>
      <c r="C15" s="145"/>
      <c r="D15" s="145"/>
    </row>
    <row r="16" spans="1:4" s="6" customFormat="1" ht="31.5">
      <c r="A16" s="9" t="s">
        <v>40</v>
      </c>
      <c r="B16" s="98">
        <v>60</v>
      </c>
      <c r="C16" s="27">
        <v>106.5</v>
      </c>
      <c r="D16" s="98">
        <v>7.5</v>
      </c>
    </row>
    <row r="17" spans="1:4" s="6" customFormat="1">
      <c r="A17" s="9" t="s">
        <v>41</v>
      </c>
      <c r="B17" s="27"/>
      <c r="C17" s="27"/>
      <c r="D17" s="27"/>
    </row>
    <row r="18" spans="1:4" ht="18.75" customHeight="1">
      <c r="A18" s="9" t="s">
        <v>6</v>
      </c>
      <c r="B18" s="145"/>
      <c r="C18" s="145"/>
      <c r="D18" s="145"/>
    </row>
    <row r="19" spans="1:4">
      <c r="A19" s="9" t="s">
        <v>29</v>
      </c>
      <c r="B19" s="145"/>
      <c r="C19" s="145"/>
      <c r="D19" s="145"/>
    </row>
    <row r="20" spans="1:4">
      <c r="A20" s="9" t="s">
        <v>15</v>
      </c>
      <c r="B20" s="145"/>
      <c r="C20" s="145"/>
      <c r="D20" s="145"/>
    </row>
    <row r="21" spans="1:4" ht="31.5">
      <c r="A21" s="10" t="s">
        <v>7</v>
      </c>
      <c r="B21" s="145"/>
      <c r="C21" s="145"/>
      <c r="D21" s="145"/>
    </row>
    <row r="22" spans="1:4">
      <c r="A22" s="10" t="s">
        <v>8</v>
      </c>
      <c r="B22" s="145"/>
      <c r="C22" s="145"/>
      <c r="D22" s="145"/>
    </row>
    <row r="23" spans="1:4">
      <c r="A23" s="10" t="s">
        <v>73</v>
      </c>
      <c r="B23" s="145">
        <v>15.6</v>
      </c>
      <c r="C23" s="145">
        <v>19.600000000000001</v>
      </c>
      <c r="D23" s="145"/>
    </row>
    <row r="24" spans="1:4">
      <c r="A24" s="10" t="s">
        <v>74</v>
      </c>
      <c r="B24" s="145">
        <v>0.3</v>
      </c>
      <c r="C24" s="145">
        <v>1</v>
      </c>
      <c r="D24" s="145"/>
    </row>
    <row r="25" spans="1:4">
      <c r="A25" s="10" t="s">
        <v>4</v>
      </c>
      <c r="B25" s="145"/>
      <c r="C25" s="145"/>
      <c r="D25" s="145"/>
    </row>
    <row r="26" spans="1:4">
      <c r="A26" s="10" t="s">
        <v>45</v>
      </c>
      <c r="B26" s="145"/>
      <c r="C26" s="145"/>
      <c r="D26" s="145"/>
    </row>
    <row r="27" spans="1:4">
      <c r="A27" s="11" t="s">
        <v>3</v>
      </c>
      <c r="B27" s="145">
        <v>181.5</v>
      </c>
      <c r="C27" s="145">
        <v>406</v>
      </c>
      <c r="D27" s="145">
        <v>64.5</v>
      </c>
    </row>
    <row r="28" spans="1:4">
      <c r="A28" s="28" t="s">
        <v>75</v>
      </c>
      <c r="B28" s="145"/>
      <c r="C28" s="145"/>
      <c r="D28" s="145"/>
    </row>
    <row r="29" spans="1:4" s="6" customFormat="1" ht="31.5">
      <c r="A29" s="10" t="s">
        <v>40</v>
      </c>
      <c r="B29" s="27"/>
      <c r="C29" s="27"/>
      <c r="D29" s="27"/>
    </row>
    <row r="30" spans="1:4" s="6" customFormat="1">
      <c r="A30" s="10" t="s">
        <v>41</v>
      </c>
      <c r="B30" s="27"/>
      <c r="C30" s="27">
        <v>10</v>
      </c>
      <c r="D30" s="27"/>
    </row>
    <row r="31" spans="1:4">
      <c r="A31" s="10" t="s">
        <v>24</v>
      </c>
      <c r="B31" s="145"/>
      <c r="C31" s="145"/>
      <c r="D31" s="145"/>
    </row>
    <row r="32" spans="1:4">
      <c r="A32" s="10" t="s">
        <v>9</v>
      </c>
      <c r="B32" s="89">
        <v>188.5</v>
      </c>
      <c r="C32" s="145">
        <v>124.2</v>
      </c>
      <c r="D32" s="89">
        <v>45.5</v>
      </c>
    </row>
    <row r="33" spans="1:4">
      <c r="A33" s="10" t="s">
        <v>25</v>
      </c>
      <c r="B33" s="145"/>
      <c r="C33" s="145"/>
      <c r="D33" s="145"/>
    </row>
    <row r="34" spans="1:4" ht="17.25" customHeight="1">
      <c r="A34" s="10" t="s">
        <v>10</v>
      </c>
      <c r="B34" s="145">
        <v>3.9</v>
      </c>
      <c r="C34" s="145">
        <v>9.6999999999999993</v>
      </c>
      <c r="D34" s="145"/>
    </row>
    <row r="35" spans="1:4">
      <c r="A35" s="10" t="s">
        <v>11</v>
      </c>
      <c r="B35" s="145">
        <v>5.2</v>
      </c>
      <c r="C35" s="145">
        <v>7</v>
      </c>
      <c r="D35" s="145"/>
    </row>
    <row r="36" spans="1:4">
      <c r="A36" s="10" t="s">
        <v>12</v>
      </c>
      <c r="B36" s="145">
        <v>4.5</v>
      </c>
      <c r="C36" s="145">
        <v>10</v>
      </c>
      <c r="D36" s="145"/>
    </row>
    <row r="37" spans="1:4">
      <c r="A37" s="10" t="s">
        <v>28</v>
      </c>
      <c r="B37" s="145"/>
      <c r="C37" s="145">
        <v>30</v>
      </c>
      <c r="D37" s="145"/>
    </row>
    <row r="38" spans="1:4" ht="31.5">
      <c r="A38" s="10" t="s">
        <v>13</v>
      </c>
      <c r="B38" s="145"/>
      <c r="C38" s="145"/>
      <c r="D38" s="145"/>
    </row>
    <row r="39" spans="1:4">
      <c r="A39" s="10" t="s">
        <v>14</v>
      </c>
      <c r="B39" s="145"/>
      <c r="C39" s="145"/>
      <c r="D39" s="145"/>
    </row>
    <row r="40" spans="1:4">
      <c r="A40" s="10" t="s">
        <v>31</v>
      </c>
      <c r="B40" s="145"/>
      <c r="C40" s="145"/>
      <c r="D40" s="145"/>
    </row>
    <row r="41" spans="1:4">
      <c r="A41" s="10" t="s">
        <v>76</v>
      </c>
      <c r="B41" s="145"/>
      <c r="C41" s="145"/>
      <c r="D41" s="145"/>
    </row>
    <row r="42" spans="1:4">
      <c r="A42" s="10" t="s">
        <v>15</v>
      </c>
      <c r="B42" s="145"/>
      <c r="C42" s="145"/>
      <c r="D42" s="145"/>
    </row>
    <row r="43" spans="1:4">
      <c r="A43" s="10" t="s">
        <v>16</v>
      </c>
      <c r="B43" s="145"/>
      <c r="C43" s="145"/>
      <c r="D43" s="145"/>
    </row>
    <row r="44" spans="1:4">
      <c r="A44" s="10" t="s">
        <v>17</v>
      </c>
      <c r="B44" s="145">
        <v>27</v>
      </c>
      <c r="C44" s="145">
        <v>32</v>
      </c>
      <c r="D44" s="145"/>
    </row>
    <row r="45" spans="1:4">
      <c r="A45" s="10" t="s">
        <v>77</v>
      </c>
      <c r="B45" s="145"/>
      <c r="C45" s="145"/>
      <c r="D45" s="145"/>
    </row>
    <row r="46" spans="1:4">
      <c r="A46" s="10" t="s">
        <v>22</v>
      </c>
      <c r="B46" s="145"/>
      <c r="C46" s="145"/>
      <c r="D46" s="145"/>
    </row>
    <row r="47" spans="1:4">
      <c r="A47" s="10" t="s">
        <v>19</v>
      </c>
      <c r="B47" s="145"/>
      <c r="C47" s="145"/>
      <c r="D47" s="145"/>
    </row>
    <row r="48" spans="1:4">
      <c r="A48" s="10" t="s">
        <v>20</v>
      </c>
      <c r="B48" s="145"/>
      <c r="C48" s="145"/>
      <c r="D48" s="145"/>
    </row>
    <row r="49" spans="1:4" ht="15.75" customHeight="1">
      <c r="A49" s="10" t="s">
        <v>23</v>
      </c>
      <c r="B49" s="145">
        <v>100</v>
      </c>
      <c r="C49" s="145"/>
      <c r="D49" s="145"/>
    </row>
    <row r="50" spans="1:4">
      <c r="A50" s="10" t="s">
        <v>18</v>
      </c>
      <c r="B50" s="145"/>
      <c r="C50" s="145"/>
      <c r="D50" s="145"/>
    </row>
    <row r="51" spans="1:4">
      <c r="A51" s="10" t="s">
        <v>38</v>
      </c>
      <c r="B51" s="145"/>
      <c r="C51" s="145"/>
      <c r="D51" s="145"/>
    </row>
    <row r="52" spans="1:4" ht="31.5">
      <c r="A52" s="10" t="s">
        <v>32</v>
      </c>
      <c r="B52" s="145"/>
      <c r="C52" s="145"/>
      <c r="D52" s="145"/>
    </row>
    <row r="53" spans="1:4">
      <c r="A53" s="10" t="s">
        <v>39</v>
      </c>
      <c r="B53" s="145"/>
      <c r="C53" s="145"/>
      <c r="D53" s="145"/>
    </row>
    <row r="54" spans="1:4">
      <c r="A54" s="10" t="s">
        <v>33</v>
      </c>
      <c r="B54" s="145"/>
      <c r="C54" s="145">
        <v>0.3</v>
      </c>
      <c r="D54" s="145"/>
    </row>
    <row r="55" spans="1:4">
      <c r="A55" s="10" t="s">
        <v>34</v>
      </c>
      <c r="B55" s="145"/>
      <c r="C55" s="145"/>
      <c r="D55" s="145"/>
    </row>
    <row r="56" spans="1:4">
      <c r="A56" s="10" t="s">
        <v>37</v>
      </c>
      <c r="B56" s="145"/>
      <c r="C56" s="145"/>
      <c r="D56" s="145"/>
    </row>
    <row r="57" spans="1:4" ht="31.5">
      <c r="A57" s="10" t="s">
        <v>35</v>
      </c>
      <c r="B57" s="145"/>
      <c r="C57" s="145"/>
      <c r="D57" s="145"/>
    </row>
    <row r="58" spans="1:4">
      <c r="A58" s="10" t="s">
        <v>36</v>
      </c>
      <c r="B58" s="145"/>
      <c r="C58" s="145"/>
      <c r="D58" s="145"/>
    </row>
    <row r="59" spans="1:4">
      <c r="A59" s="10" t="s">
        <v>30</v>
      </c>
      <c r="B59" s="145"/>
      <c r="C59" s="145"/>
      <c r="D59" s="145"/>
    </row>
    <row r="60" spans="1:4">
      <c r="A60" s="10" t="s">
        <v>78</v>
      </c>
      <c r="B60" s="145">
        <v>216.9</v>
      </c>
      <c r="C60" s="145">
        <v>150</v>
      </c>
      <c r="D60" s="145">
        <v>6.6</v>
      </c>
    </row>
    <row r="61" spans="1:4">
      <c r="A61" s="10" t="s">
        <v>21</v>
      </c>
      <c r="B61" s="145">
        <v>31.7</v>
      </c>
      <c r="C61" s="145">
        <v>25</v>
      </c>
      <c r="D61" s="145">
        <v>1</v>
      </c>
    </row>
    <row r="62" spans="1:4">
      <c r="A62" s="29" t="s">
        <v>79</v>
      </c>
      <c r="B62" s="145"/>
      <c r="C62" s="145"/>
      <c r="D62" s="145"/>
    </row>
    <row r="63" spans="1:4" s="30" customFormat="1">
      <c r="A63" s="10" t="s">
        <v>80</v>
      </c>
      <c r="B63" s="147"/>
      <c r="C63" s="147"/>
      <c r="D63" s="147"/>
    </row>
    <row r="64" spans="1:4">
      <c r="A64" s="10" t="s">
        <v>81</v>
      </c>
      <c r="B64" s="145"/>
      <c r="C64" s="145"/>
      <c r="D64" s="145"/>
    </row>
    <row r="65" spans="1:4">
      <c r="A65" s="10" t="s">
        <v>15</v>
      </c>
      <c r="B65" s="145"/>
      <c r="C65" s="145"/>
      <c r="D65" s="145"/>
    </row>
    <row r="66" spans="1:4">
      <c r="A66" s="10" t="s">
        <v>82</v>
      </c>
      <c r="B66" s="145">
        <v>20</v>
      </c>
      <c r="C66" s="145">
        <v>20</v>
      </c>
      <c r="D66" s="145"/>
    </row>
    <row r="67" spans="1:4">
      <c r="A67" s="10" t="s">
        <v>83</v>
      </c>
      <c r="B67" s="145"/>
      <c r="C67" s="145"/>
      <c r="D67" s="145"/>
    </row>
    <row r="68" spans="1:4">
      <c r="A68" s="10" t="s">
        <v>84</v>
      </c>
      <c r="B68" s="145">
        <v>53.3</v>
      </c>
      <c r="C68" s="109">
        <v>61.6</v>
      </c>
      <c r="D68" s="145">
        <v>18.899999999999999</v>
      </c>
    </row>
    <row r="69" spans="1:4">
      <c r="A69" s="10" t="s">
        <v>85</v>
      </c>
      <c r="B69" s="145"/>
      <c r="C69" s="145"/>
      <c r="D69" s="145"/>
    </row>
    <row r="70" spans="1:4">
      <c r="A70" s="10" t="s">
        <v>86</v>
      </c>
      <c r="B70" s="145">
        <v>760.2</v>
      </c>
      <c r="C70" s="145"/>
      <c r="D70" s="145"/>
    </row>
    <row r="71" spans="1:4">
      <c r="A71" s="29" t="s">
        <v>87</v>
      </c>
      <c r="B71" s="145"/>
      <c r="C71" s="145"/>
      <c r="D71" s="145"/>
    </row>
    <row r="72" spans="1:4" ht="31.5">
      <c r="A72" s="10" t="s">
        <v>88</v>
      </c>
      <c r="B72" s="145"/>
      <c r="C72" s="145"/>
      <c r="D72" s="145"/>
    </row>
    <row r="73" spans="1:4">
      <c r="A73" s="10" t="s">
        <v>89</v>
      </c>
      <c r="B73" s="145"/>
      <c r="C73" s="145"/>
      <c r="D73" s="145"/>
    </row>
    <row r="74" spans="1:4">
      <c r="A74" s="10" t="s">
        <v>90</v>
      </c>
      <c r="B74" s="145"/>
      <c r="C74" s="145"/>
      <c r="D74" s="145"/>
    </row>
    <row r="75" spans="1:4">
      <c r="A75" s="29" t="s">
        <v>91</v>
      </c>
      <c r="B75" s="145"/>
      <c r="C75" s="145"/>
      <c r="D75" s="145"/>
    </row>
    <row r="76" spans="1:4">
      <c r="A76" s="9" t="s">
        <v>92</v>
      </c>
      <c r="B76" s="139">
        <v>90</v>
      </c>
      <c r="C76" s="145">
        <v>68</v>
      </c>
      <c r="D76" s="139">
        <v>12.7</v>
      </c>
    </row>
    <row r="77" spans="1:4">
      <c r="A77" s="9" t="s">
        <v>0</v>
      </c>
      <c r="B77" s="145">
        <v>2.8</v>
      </c>
      <c r="C77" s="145">
        <v>10</v>
      </c>
      <c r="D77" s="145">
        <v>1.8</v>
      </c>
    </row>
    <row r="78" spans="1:4">
      <c r="A78" s="9" t="s">
        <v>1</v>
      </c>
      <c r="B78" s="145">
        <v>13</v>
      </c>
      <c r="C78" s="145">
        <v>30.4</v>
      </c>
      <c r="D78" s="145"/>
    </row>
    <row r="79" spans="1:4">
      <c r="A79" s="9" t="s">
        <v>93</v>
      </c>
      <c r="B79" s="145">
        <v>0</v>
      </c>
      <c r="C79" s="145"/>
      <c r="D79" s="145"/>
    </row>
    <row r="80" spans="1:4">
      <c r="A80" s="9" t="s">
        <v>26</v>
      </c>
      <c r="B80" s="145"/>
      <c r="C80" s="145"/>
      <c r="D80" s="145"/>
    </row>
    <row r="81" spans="1:4">
      <c r="A81" s="9" t="s">
        <v>2</v>
      </c>
      <c r="B81" s="145">
        <v>96.1</v>
      </c>
      <c r="C81" s="145">
        <v>140</v>
      </c>
      <c r="D81" s="145">
        <v>51.5</v>
      </c>
    </row>
    <row r="82" spans="1:4">
      <c r="A82" s="9" t="s">
        <v>94</v>
      </c>
      <c r="B82" s="145"/>
      <c r="C82" s="145"/>
      <c r="D82" s="145"/>
    </row>
    <row r="83" spans="1:4">
      <c r="A83" s="9" t="s">
        <v>95</v>
      </c>
      <c r="B83" s="139">
        <v>30.7</v>
      </c>
      <c r="C83" s="146">
        <v>113.1</v>
      </c>
      <c r="D83" s="139">
        <v>46.4</v>
      </c>
    </row>
    <row r="84" spans="1:4">
      <c r="A84" s="8" t="s">
        <v>96</v>
      </c>
      <c r="B84" s="145"/>
      <c r="C84" s="146"/>
      <c r="D84" s="145"/>
    </row>
    <row r="85" spans="1:4" ht="15.75" customHeight="1">
      <c r="A85" s="10" t="s">
        <v>97</v>
      </c>
      <c r="B85" s="145"/>
      <c r="C85" s="145"/>
      <c r="D85" s="145"/>
    </row>
    <row r="86" spans="1:4">
      <c r="A86" s="10" t="s">
        <v>98</v>
      </c>
      <c r="B86" s="145"/>
      <c r="C86" s="145"/>
      <c r="D86" s="145"/>
    </row>
    <row r="87" spans="1:4">
      <c r="A87" s="10" t="s">
        <v>99</v>
      </c>
      <c r="B87" s="145"/>
      <c r="C87" s="145"/>
      <c r="D87" s="145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rgb="FFFFFF00"/>
  </sheetPr>
  <dimension ref="A1:D199"/>
  <sheetViews>
    <sheetView topLeftCell="A28" workbookViewId="0">
      <selection activeCell="D40" sqref="D40"/>
    </sheetView>
  </sheetViews>
  <sheetFormatPr defaultRowHeight="15.75"/>
  <cols>
    <col min="1" max="1" width="83.85546875" style="1" customWidth="1"/>
    <col min="2" max="2" width="16" style="1" customWidth="1"/>
    <col min="3" max="3" width="16.28515625" style="4" customWidth="1"/>
    <col min="4" max="4" width="16.5703125" style="4" customWidth="1"/>
    <col min="5" max="6" width="16.5703125" style="1" customWidth="1"/>
    <col min="7" max="7" width="28.28515625" style="1" customWidth="1"/>
    <col min="8" max="8" width="13.140625" style="1" bestFit="1" customWidth="1"/>
    <col min="9" max="16384" width="9.140625" style="1"/>
  </cols>
  <sheetData>
    <row r="1" spans="1:4">
      <c r="C1" s="22"/>
      <c r="D1" s="5" t="s">
        <v>53</v>
      </c>
    </row>
    <row r="2" spans="1:4" ht="18.75">
      <c r="A2" s="190" t="s">
        <v>43</v>
      </c>
      <c r="B2" s="190"/>
      <c r="C2" s="191"/>
      <c r="D2" s="191"/>
    </row>
    <row r="3" spans="1:4">
      <c r="A3" s="192" t="s">
        <v>44</v>
      </c>
      <c r="B3" s="192"/>
      <c r="C3" s="192"/>
      <c r="D3" s="192"/>
    </row>
    <row r="4" spans="1:4" ht="15.75" customHeight="1">
      <c r="A4" s="191" t="s">
        <v>65</v>
      </c>
      <c r="B4" s="191"/>
      <c r="C4" s="191"/>
      <c r="D4" s="191"/>
    </row>
    <row r="5" spans="1:4">
      <c r="A5" s="194" t="s">
        <v>42</v>
      </c>
      <c r="B5" s="194"/>
      <c r="C5" s="194"/>
      <c r="D5" s="194"/>
    </row>
    <row r="6" spans="1:4">
      <c r="A6" s="2"/>
      <c r="B6" s="2"/>
      <c r="D6" s="5" t="s">
        <v>66</v>
      </c>
    </row>
    <row r="7" spans="1:4" ht="90" customHeight="1">
      <c r="A7" s="23" t="s">
        <v>67</v>
      </c>
      <c r="B7" s="23" t="s">
        <v>112</v>
      </c>
      <c r="C7" s="23" t="s">
        <v>116</v>
      </c>
      <c r="D7" s="24" t="s">
        <v>115</v>
      </c>
    </row>
    <row r="8" spans="1:4" ht="22.5" customHeight="1">
      <c r="A8" s="3">
        <v>1</v>
      </c>
      <c r="B8" s="3">
        <v>2</v>
      </c>
      <c r="C8" s="3">
        <v>3</v>
      </c>
      <c r="D8" s="95">
        <v>4</v>
      </c>
    </row>
    <row r="9" spans="1:4" ht="25.5">
      <c r="A9" s="7" t="s">
        <v>68</v>
      </c>
      <c r="B9" s="144">
        <f>B15+B28+B62+B75+B10</f>
        <v>1441.0000000000005</v>
      </c>
      <c r="C9" s="144">
        <f>C15+C28+C62+C75+C10</f>
        <v>777.09999999999991</v>
      </c>
      <c r="D9" s="144">
        <f>D15+D28+D62+D75+D10</f>
        <v>126.89999999999999</v>
      </c>
    </row>
    <row r="10" spans="1:4">
      <c r="A10" s="7" t="s">
        <v>69</v>
      </c>
      <c r="B10" s="144">
        <f>B14</f>
        <v>30</v>
      </c>
      <c r="C10" s="144"/>
      <c r="D10" s="144"/>
    </row>
    <row r="11" spans="1:4">
      <c r="A11" s="9" t="s">
        <v>70</v>
      </c>
      <c r="B11" s="145"/>
      <c r="C11" s="145"/>
      <c r="D11" s="145"/>
    </row>
    <row r="12" spans="1:4">
      <c r="A12" s="9" t="s">
        <v>27</v>
      </c>
      <c r="B12" s="145"/>
      <c r="C12" s="145"/>
      <c r="D12" s="145"/>
    </row>
    <row r="13" spans="1:4">
      <c r="A13" s="9" t="s">
        <v>71</v>
      </c>
      <c r="B13" s="145"/>
      <c r="C13" s="145"/>
      <c r="D13" s="145"/>
    </row>
    <row r="14" spans="1:4">
      <c r="A14" s="9" t="s">
        <v>5</v>
      </c>
      <c r="B14" s="145">
        <v>30</v>
      </c>
      <c r="C14" s="145"/>
      <c r="D14" s="145"/>
    </row>
    <row r="15" spans="1:4">
      <c r="A15" s="8" t="s">
        <v>72</v>
      </c>
      <c r="B15" s="27">
        <f>B16+B18+B23+B27+B21</f>
        <v>89.899999999999991</v>
      </c>
      <c r="C15" s="27">
        <f>C16+C18+C23+C27+C21</f>
        <v>101</v>
      </c>
      <c r="D15" s="27">
        <f>D16+D18+D23+D27+D21</f>
        <v>6.5</v>
      </c>
    </row>
    <row r="16" spans="1:4" s="6" customFormat="1" ht="31.5">
      <c r="A16" s="9" t="s">
        <v>40</v>
      </c>
      <c r="B16" s="145">
        <v>68.099999999999994</v>
      </c>
      <c r="C16" s="145">
        <v>68.8</v>
      </c>
      <c r="D16" s="145">
        <v>3.5</v>
      </c>
    </row>
    <row r="17" spans="1:4" s="6" customFormat="1">
      <c r="A17" s="9" t="s">
        <v>41</v>
      </c>
      <c r="B17" s="27"/>
      <c r="C17" s="27"/>
      <c r="D17" s="27"/>
    </row>
    <row r="18" spans="1:4" ht="18.75" customHeight="1">
      <c r="A18" s="9" t="s">
        <v>6</v>
      </c>
      <c r="B18" s="145">
        <v>3.2</v>
      </c>
      <c r="C18" s="145">
        <v>3.2</v>
      </c>
      <c r="D18" s="145"/>
    </row>
    <row r="19" spans="1:4">
      <c r="A19" s="9" t="s">
        <v>29</v>
      </c>
      <c r="B19" s="145"/>
      <c r="C19" s="145"/>
      <c r="D19" s="145"/>
    </row>
    <row r="20" spans="1:4">
      <c r="A20" s="9" t="s">
        <v>15</v>
      </c>
      <c r="B20" s="145"/>
      <c r="C20" s="145"/>
      <c r="D20" s="145"/>
    </row>
    <row r="21" spans="1:4" ht="31.5">
      <c r="A21" s="10" t="s">
        <v>7</v>
      </c>
      <c r="B21" s="145"/>
      <c r="C21" s="145"/>
      <c r="D21" s="145"/>
    </row>
    <row r="22" spans="1:4">
      <c r="A22" s="10" t="s">
        <v>8</v>
      </c>
      <c r="B22" s="145"/>
      <c r="C22" s="145"/>
      <c r="D22" s="145"/>
    </row>
    <row r="23" spans="1:4">
      <c r="A23" s="10" t="s">
        <v>73</v>
      </c>
      <c r="B23" s="145">
        <v>4.8</v>
      </c>
      <c r="C23" s="145">
        <v>15.2</v>
      </c>
      <c r="D23" s="145">
        <v>1.9</v>
      </c>
    </row>
    <row r="24" spans="1:4">
      <c r="A24" s="10" t="s">
        <v>74</v>
      </c>
      <c r="B24" s="145"/>
      <c r="C24" s="145"/>
      <c r="D24" s="145"/>
    </row>
    <row r="25" spans="1:4">
      <c r="A25" s="10" t="s">
        <v>4</v>
      </c>
      <c r="B25" s="145"/>
      <c r="C25" s="145"/>
      <c r="D25" s="145"/>
    </row>
    <row r="26" spans="1:4">
      <c r="A26" s="10" t="s">
        <v>45</v>
      </c>
      <c r="B26" s="145"/>
      <c r="C26" s="145"/>
      <c r="D26" s="145"/>
    </row>
    <row r="27" spans="1:4">
      <c r="A27" s="11" t="s">
        <v>3</v>
      </c>
      <c r="B27" s="145">
        <v>13.8</v>
      </c>
      <c r="C27" s="145">
        <v>13.8</v>
      </c>
      <c r="D27" s="145">
        <v>1.1000000000000001</v>
      </c>
    </row>
    <row r="28" spans="1:4">
      <c r="A28" s="28" t="s">
        <v>75</v>
      </c>
      <c r="B28" s="27">
        <f>B32+B35+B36+B44+B50+B60+B61+B59+B53+B29+B30+B37+B34+B38</f>
        <v>1016.3000000000002</v>
      </c>
      <c r="C28" s="27">
        <f>C32+C35+C36+C44+C50+C60+C61+C59+C53+C29+C30+C37+C34+C38</f>
        <v>596.79999999999995</v>
      </c>
      <c r="D28" s="27">
        <f>D32+D35+D36+D44+D50+D60+D61+D59+D53+D29+D30+D37+D34+D38</f>
        <v>100.39999999999999</v>
      </c>
    </row>
    <row r="29" spans="1:4" s="6" customFormat="1" ht="31.5">
      <c r="A29" s="10" t="s">
        <v>40</v>
      </c>
      <c r="B29" s="145"/>
      <c r="C29" s="145"/>
      <c r="D29" s="145"/>
    </row>
    <row r="30" spans="1:4" s="6" customFormat="1">
      <c r="A30" s="10" t="s">
        <v>41</v>
      </c>
      <c r="B30" s="145">
        <v>1</v>
      </c>
      <c r="C30" s="145"/>
      <c r="D30" s="145"/>
    </row>
    <row r="31" spans="1:4">
      <c r="A31" s="10" t="s">
        <v>24</v>
      </c>
      <c r="B31" s="145"/>
      <c r="C31" s="145"/>
      <c r="D31" s="145"/>
    </row>
    <row r="32" spans="1:4">
      <c r="A32" s="10" t="s">
        <v>9</v>
      </c>
      <c r="B32" s="145">
        <v>215.8</v>
      </c>
      <c r="C32" s="145">
        <v>180</v>
      </c>
      <c r="D32" s="145">
        <v>3.3</v>
      </c>
    </row>
    <row r="33" spans="1:4">
      <c r="A33" s="10" t="s">
        <v>25</v>
      </c>
      <c r="B33" s="145"/>
      <c r="C33" s="145"/>
      <c r="D33" s="145"/>
    </row>
    <row r="34" spans="1:4" ht="17.25" customHeight="1">
      <c r="A34" s="10" t="s">
        <v>10</v>
      </c>
      <c r="B34" s="145">
        <v>3.6</v>
      </c>
      <c r="C34" s="145">
        <v>3.6</v>
      </c>
      <c r="D34" s="145"/>
    </row>
    <row r="35" spans="1:4">
      <c r="A35" s="10" t="s">
        <v>11</v>
      </c>
      <c r="B35" s="145">
        <v>1.2</v>
      </c>
      <c r="C35" s="145">
        <v>1.3</v>
      </c>
      <c r="D35" s="145"/>
    </row>
    <row r="36" spans="1:4">
      <c r="A36" s="10" t="s">
        <v>12</v>
      </c>
      <c r="B36" s="145">
        <v>2.5</v>
      </c>
      <c r="C36" s="145"/>
      <c r="D36" s="145"/>
    </row>
    <row r="37" spans="1:4">
      <c r="A37" s="10" t="s">
        <v>28</v>
      </c>
      <c r="B37" s="145">
        <v>6.2</v>
      </c>
      <c r="C37" s="145">
        <v>11.9</v>
      </c>
      <c r="D37" s="145"/>
    </row>
    <row r="38" spans="1:4" ht="31.5">
      <c r="A38" s="10" t="s">
        <v>13</v>
      </c>
      <c r="B38" s="145">
        <v>138.1</v>
      </c>
      <c r="C38" s="145"/>
      <c r="D38" s="145"/>
    </row>
    <row r="39" spans="1:4">
      <c r="A39" s="10" t="s">
        <v>14</v>
      </c>
      <c r="B39" s="145"/>
      <c r="C39" s="145"/>
      <c r="D39" s="145"/>
    </row>
    <row r="40" spans="1:4">
      <c r="A40" s="10" t="s">
        <v>31</v>
      </c>
      <c r="B40" s="145"/>
      <c r="C40" s="145"/>
      <c r="D40" s="145"/>
    </row>
    <row r="41" spans="1:4">
      <c r="A41" s="10" t="s">
        <v>76</v>
      </c>
      <c r="B41" s="145"/>
      <c r="C41" s="145"/>
      <c r="D41" s="145"/>
    </row>
    <row r="42" spans="1:4">
      <c r="A42" s="10" t="s">
        <v>15</v>
      </c>
      <c r="B42" s="145"/>
      <c r="C42" s="145"/>
      <c r="D42" s="145"/>
    </row>
    <row r="43" spans="1:4">
      <c r="A43" s="10" t="s">
        <v>16</v>
      </c>
      <c r="B43" s="145"/>
      <c r="C43" s="145"/>
      <c r="D43" s="145"/>
    </row>
    <row r="44" spans="1:4">
      <c r="A44" s="10" t="s">
        <v>17</v>
      </c>
      <c r="B44" s="145">
        <v>18.5</v>
      </c>
      <c r="C44" s="145"/>
      <c r="D44" s="145"/>
    </row>
    <row r="45" spans="1:4">
      <c r="A45" s="10" t="s">
        <v>77</v>
      </c>
      <c r="B45" s="145"/>
      <c r="C45" s="145"/>
      <c r="D45" s="145"/>
    </row>
    <row r="46" spans="1:4">
      <c r="A46" s="10" t="s">
        <v>22</v>
      </c>
      <c r="B46" s="145"/>
      <c r="C46" s="145"/>
      <c r="D46" s="145"/>
    </row>
    <row r="47" spans="1:4">
      <c r="A47" s="10" t="s">
        <v>19</v>
      </c>
      <c r="B47" s="145"/>
      <c r="C47" s="145"/>
      <c r="D47" s="145"/>
    </row>
    <row r="48" spans="1:4">
      <c r="A48" s="10" t="s">
        <v>20</v>
      </c>
      <c r="B48" s="145"/>
      <c r="C48" s="145"/>
      <c r="D48" s="145"/>
    </row>
    <row r="49" spans="1:4" ht="15.75" customHeight="1">
      <c r="A49" s="10" t="s">
        <v>23</v>
      </c>
      <c r="B49" s="145"/>
      <c r="C49" s="145"/>
      <c r="D49" s="145"/>
    </row>
    <row r="50" spans="1:4">
      <c r="A50" s="10" t="s">
        <v>18</v>
      </c>
      <c r="B50" s="145">
        <v>354.6</v>
      </c>
      <c r="C50" s="145">
        <v>400</v>
      </c>
      <c r="D50" s="145">
        <v>97.1</v>
      </c>
    </row>
    <row r="51" spans="1:4">
      <c r="A51" s="10" t="s">
        <v>38</v>
      </c>
      <c r="B51" s="145"/>
      <c r="C51" s="145"/>
      <c r="D51" s="145"/>
    </row>
    <row r="52" spans="1:4" ht="31.5">
      <c r="A52" s="10" t="s">
        <v>32</v>
      </c>
      <c r="B52" s="145"/>
      <c r="C52" s="145"/>
      <c r="D52" s="145"/>
    </row>
    <row r="53" spans="1:4">
      <c r="A53" s="10" t="s">
        <v>39</v>
      </c>
      <c r="B53" s="145"/>
      <c r="C53" s="145"/>
      <c r="D53" s="145"/>
    </row>
    <row r="54" spans="1:4">
      <c r="A54" s="10" t="s">
        <v>33</v>
      </c>
      <c r="B54" s="145"/>
      <c r="C54" s="145"/>
      <c r="D54" s="145"/>
    </row>
    <row r="55" spans="1:4">
      <c r="A55" s="10" t="s">
        <v>34</v>
      </c>
      <c r="B55" s="145"/>
      <c r="C55" s="145"/>
      <c r="D55" s="145"/>
    </row>
    <row r="56" spans="1:4">
      <c r="A56" s="10" t="s">
        <v>37</v>
      </c>
      <c r="B56" s="145"/>
      <c r="C56" s="145"/>
      <c r="D56" s="145"/>
    </row>
    <row r="57" spans="1:4" ht="31.5">
      <c r="A57" s="10" t="s">
        <v>35</v>
      </c>
      <c r="B57" s="145"/>
      <c r="C57" s="145"/>
      <c r="D57" s="145"/>
    </row>
    <row r="58" spans="1:4">
      <c r="A58" s="10" t="s">
        <v>36</v>
      </c>
      <c r="B58" s="145"/>
      <c r="C58" s="145"/>
      <c r="D58" s="145"/>
    </row>
    <row r="59" spans="1:4">
      <c r="A59" s="10" t="s">
        <v>30</v>
      </c>
      <c r="B59" s="145">
        <v>2</v>
      </c>
      <c r="C59" s="145"/>
      <c r="D59" s="145"/>
    </row>
    <row r="60" spans="1:4">
      <c r="A60" s="10" t="s">
        <v>78</v>
      </c>
      <c r="B60" s="145">
        <v>70</v>
      </c>
      <c r="C60" s="145"/>
      <c r="D60" s="145"/>
    </row>
    <row r="61" spans="1:4">
      <c r="A61" s="10" t="s">
        <v>21</v>
      </c>
      <c r="B61" s="145">
        <v>202.8</v>
      </c>
      <c r="C61" s="145"/>
      <c r="D61" s="145"/>
    </row>
    <row r="62" spans="1:4">
      <c r="A62" s="29" t="s">
        <v>79</v>
      </c>
      <c r="B62" s="27">
        <f>B63+B66</f>
        <v>22.7</v>
      </c>
      <c r="C62" s="27">
        <f>C63+C66</f>
        <v>20</v>
      </c>
      <c r="D62" s="27">
        <f>D63+D66</f>
        <v>20</v>
      </c>
    </row>
    <row r="63" spans="1:4" s="30" customFormat="1">
      <c r="A63" s="10" t="s">
        <v>80</v>
      </c>
      <c r="B63" s="147">
        <v>2.7</v>
      </c>
      <c r="C63" s="147"/>
      <c r="D63" s="147"/>
    </row>
    <row r="64" spans="1:4">
      <c r="A64" s="10" t="s">
        <v>81</v>
      </c>
      <c r="B64" s="145"/>
      <c r="C64" s="145"/>
      <c r="D64" s="145"/>
    </row>
    <row r="65" spans="1:4">
      <c r="A65" s="10" t="s">
        <v>15</v>
      </c>
      <c r="B65" s="145"/>
      <c r="C65" s="145"/>
      <c r="D65" s="145"/>
    </row>
    <row r="66" spans="1:4">
      <c r="A66" s="10" t="s">
        <v>82</v>
      </c>
      <c r="B66" s="145">
        <v>20</v>
      </c>
      <c r="C66" s="145">
        <v>20</v>
      </c>
      <c r="D66" s="145">
        <v>20</v>
      </c>
    </row>
    <row r="67" spans="1:4">
      <c r="A67" s="10" t="s">
        <v>83</v>
      </c>
      <c r="B67" s="145"/>
      <c r="C67" s="145"/>
      <c r="D67" s="145"/>
    </row>
    <row r="68" spans="1:4">
      <c r="A68" s="10" t="s">
        <v>84</v>
      </c>
      <c r="B68" s="145"/>
      <c r="C68" s="145"/>
      <c r="D68" s="145"/>
    </row>
    <row r="69" spans="1:4">
      <c r="A69" s="10" t="s">
        <v>85</v>
      </c>
      <c r="B69" s="145"/>
      <c r="C69" s="145"/>
      <c r="D69" s="145"/>
    </row>
    <row r="70" spans="1:4">
      <c r="A70" s="10" t="s">
        <v>86</v>
      </c>
      <c r="B70" s="145"/>
      <c r="C70" s="145"/>
      <c r="D70" s="145"/>
    </row>
    <row r="71" spans="1:4">
      <c r="A71" s="29" t="s">
        <v>87</v>
      </c>
      <c r="B71" s="145"/>
      <c r="C71" s="145"/>
      <c r="D71" s="145"/>
    </row>
    <row r="72" spans="1:4" ht="31.5">
      <c r="A72" s="10" t="s">
        <v>88</v>
      </c>
      <c r="B72" s="145"/>
      <c r="C72" s="145"/>
      <c r="D72" s="145"/>
    </row>
    <row r="73" spans="1:4">
      <c r="A73" s="10" t="s">
        <v>89</v>
      </c>
      <c r="B73" s="145"/>
      <c r="C73" s="145"/>
      <c r="D73" s="145"/>
    </row>
    <row r="74" spans="1:4">
      <c r="A74" s="10" t="s">
        <v>90</v>
      </c>
      <c r="B74" s="145"/>
      <c r="C74" s="145"/>
      <c r="D74" s="145"/>
    </row>
    <row r="75" spans="1:4">
      <c r="A75" s="29" t="s">
        <v>91</v>
      </c>
      <c r="B75" s="27">
        <f>B77+B78+B81+B82+B83</f>
        <v>282.10000000000002</v>
      </c>
      <c r="C75" s="27">
        <f>C77+C78+C81+C82+C83</f>
        <v>59.3</v>
      </c>
      <c r="D75" s="27">
        <f>D77+D78+D81+D82+D83</f>
        <v>0</v>
      </c>
    </row>
    <row r="76" spans="1:4">
      <c r="A76" s="9" t="s">
        <v>92</v>
      </c>
      <c r="B76" s="145"/>
      <c r="C76" s="145"/>
      <c r="D76" s="145"/>
    </row>
    <row r="77" spans="1:4">
      <c r="A77" s="9" t="s">
        <v>0</v>
      </c>
      <c r="B77" s="145">
        <v>15.4</v>
      </c>
      <c r="C77" s="145">
        <v>6</v>
      </c>
      <c r="D77" s="145"/>
    </row>
    <row r="78" spans="1:4">
      <c r="A78" s="9" t="s">
        <v>1</v>
      </c>
      <c r="B78" s="145">
        <v>26.4</v>
      </c>
      <c r="C78" s="145">
        <v>13.3</v>
      </c>
      <c r="D78" s="145"/>
    </row>
    <row r="79" spans="1:4">
      <c r="A79" s="9" t="s">
        <v>93</v>
      </c>
      <c r="B79" s="145"/>
      <c r="C79" s="145"/>
      <c r="D79" s="145"/>
    </row>
    <row r="80" spans="1:4">
      <c r="A80" s="9" t="s">
        <v>26</v>
      </c>
      <c r="B80" s="145"/>
      <c r="C80" s="145"/>
      <c r="D80" s="145"/>
    </row>
    <row r="81" spans="1:4">
      <c r="A81" s="9" t="s">
        <v>2</v>
      </c>
      <c r="B81" s="145">
        <v>235.2</v>
      </c>
      <c r="C81" s="145">
        <v>40</v>
      </c>
      <c r="D81" s="145"/>
    </row>
    <row r="82" spans="1:4">
      <c r="A82" s="9" t="s">
        <v>94</v>
      </c>
      <c r="B82" s="145">
        <v>5.0999999999999996</v>
      </c>
      <c r="C82" s="145"/>
      <c r="D82" s="145"/>
    </row>
    <row r="83" spans="1:4">
      <c r="A83" s="9" t="s">
        <v>95</v>
      </c>
      <c r="B83" s="145"/>
      <c r="C83" s="146"/>
      <c r="D83" s="145"/>
    </row>
    <row r="84" spans="1:4">
      <c r="A84" s="8" t="s">
        <v>96</v>
      </c>
      <c r="B84" s="145"/>
      <c r="C84" s="146"/>
      <c r="D84" s="145"/>
    </row>
    <row r="85" spans="1:4" ht="15.75" customHeight="1">
      <c r="A85" s="10" t="s">
        <v>97</v>
      </c>
      <c r="B85" s="145"/>
      <c r="C85" s="145"/>
      <c r="D85" s="145"/>
    </row>
    <row r="86" spans="1:4">
      <c r="A86" s="10" t="s">
        <v>98</v>
      </c>
      <c r="B86" s="145"/>
      <c r="C86" s="145"/>
      <c r="D86" s="145"/>
    </row>
    <row r="87" spans="1:4">
      <c r="A87" s="10" t="s">
        <v>99</v>
      </c>
      <c r="B87" s="77"/>
      <c r="C87" s="77"/>
      <c r="D87" s="77"/>
    </row>
    <row r="88" spans="1:4" ht="56.25" customHeight="1">
      <c r="A88" s="205" t="s">
        <v>100</v>
      </c>
      <c r="B88" s="205"/>
      <c r="C88" s="205"/>
      <c r="D88" s="205"/>
    </row>
    <row r="89" spans="1:4" ht="66" customHeight="1">
      <c r="A89" s="189" t="s">
        <v>101</v>
      </c>
      <c r="B89" s="189"/>
      <c r="C89" s="189"/>
      <c r="D89" s="189"/>
    </row>
    <row r="90" spans="1:4">
      <c r="A90" s="32"/>
      <c r="B90" s="32"/>
    </row>
    <row r="95" spans="1:4">
      <c r="A95" s="33"/>
      <c r="B95" s="33"/>
    </row>
    <row r="104" ht="18.75" customHeight="1"/>
    <row r="120" ht="17.25" customHeight="1"/>
    <row r="135" ht="15.75" customHeight="1"/>
    <row r="155" ht="47.25" customHeight="1"/>
    <row r="171" ht="15.75" customHeight="1"/>
    <row r="181" ht="31.5" customHeight="1"/>
    <row r="196" ht="33.75" customHeight="1"/>
    <row r="197" ht="59.25" customHeight="1"/>
    <row r="199" ht="59.25" customHeight="1"/>
  </sheetData>
  <mergeCells count="6">
    <mergeCell ref="A89:D89"/>
    <mergeCell ref="A2:D2"/>
    <mergeCell ref="A3:D3"/>
    <mergeCell ref="A4:D4"/>
    <mergeCell ref="A5:D5"/>
    <mergeCell ref="A88:D88"/>
  </mergeCells>
  <pageMargins left="0.7" right="0.7" top="0.75" bottom="0.75" header="0.3" footer="0.3"/>
  <pageSetup paperSize="9" scale="63" orientation="portrait" r:id="rId1"/>
  <rowBreaks count="2" manualBreakCount="2">
    <brk id="122" max="3" man="1"/>
    <brk id="1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14</vt:i4>
      </vt:variant>
    </vt:vector>
  </HeadingPairs>
  <TitlesOfParts>
    <vt:vector size="30" baseType="lpstr">
      <vt:lpstr>свод</vt:lpstr>
      <vt:lpstr>район</vt:lpstr>
      <vt:lpstr>Свод посел</vt:lpstr>
      <vt:lpstr>Верхнеталовка</vt:lpstr>
      <vt:lpstr>Волошино</vt:lpstr>
      <vt:lpstr>Дегтево</vt:lpstr>
      <vt:lpstr>Колодези</vt:lpstr>
      <vt:lpstr>Криворожье</vt:lpstr>
      <vt:lpstr>Мальчевская</vt:lpstr>
      <vt:lpstr>Миллерово</vt:lpstr>
      <vt:lpstr>О.-Рог</vt:lpstr>
      <vt:lpstr>Первомайское</vt:lpstr>
      <vt:lpstr>Сулин</vt:lpstr>
      <vt:lpstr>Титовка</vt:lpstr>
      <vt:lpstr>Треневка</vt:lpstr>
      <vt:lpstr>Туриловка</vt:lpstr>
      <vt:lpstr>'Свод посел'!Заголовки_для_печати</vt:lpstr>
      <vt:lpstr>Верхнеталовка!Область_печати</vt:lpstr>
      <vt:lpstr>Волошино!Область_печати</vt:lpstr>
      <vt:lpstr>Колодези!Область_печати</vt:lpstr>
      <vt:lpstr>Криворожье!Область_печати</vt:lpstr>
      <vt:lpstr>Мальчевская!Область_печати</vt:lpstr>
      <vt:lpstr>Миллерово!Область_печати</vt:lpstr>
      <vt:lpstr>'О.-Рог'!Область_печати</vt:lpstr>
      <vt:lpstr>Первомайское!Область_печати</vt:lpstr>
      <vt:lpstr>'Свод посел'!Область_печати</vt:lpstr>
      <vt:lpstr>Сулин!Область_печати</vt:lpstr>
      <vt:lpstr>Титовка!Область_печати</vt:lpstr>
      <vt:lpstr>Треневка!Область_печати</vt:lpstr>
      <vt:lpstr>Туриловка!Область_печати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Buh-3</cp:lastModifiedBy>
  <cp:lastPrinted>2022-02-08T14:17:29Z</cp:lastPrinted>
  <dcterms:created xsi:type="dcterms:W3CDTF">2002-03-12T08:12:25Z</dcterms:created>
  <dcterms:modified xsi:type="dcterms:W3CDTF">2022-03-09T12:45:10Z</dcterms:modified>
</cp:coreProperties>
</file>